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F:\Board\"/>
    </mc:Choice>
  </mc:AlternateContent>
  <bookViews>
    <workbookView xWindow="0" yWindow="0" windowWidth="20490" windowHeight="7650" tabRatio="601" firstSheet="1" activeTab="1"/>
  </bookViews>
  <sheets>
    <sheet name="BS" sheetId="19" state="hidden" r:id="rId1"/>
    <sheet name="Annual" sheetId="10" r:id="rId2"/>
    <sheet name="Salaries" sheetId="27" r:id="rId3"/>
    <sheet name="Monthly" sheetId="26" r:id="rId4"/>
    <sheet name="Op" sheetId="1" state="hidden" r:id="rId5"/>
    <sheet name="Yr1" sheetId="15" state="hidden" r:id="rId6"/>
    <sheet name="Yr2" sheetId="16" state="hidden" r:id="rId7"/>
    <sheet name="Yr1 Cash Flow" sheetId="20" state="hidden" r:id="rId8"/>
    <sheet name="Yr2 Cash Flow" sheetId="21" state="hidden" r:id="rId9"/>
    <sheet name="Yr3 Cash Flow" sheetId="22" state="hidden" r:id="rId10"/>
    <sheet name="Yr4 Cash Flow" sheetId="23" state="hidden" r:id="rId11"/>
    <sheet name="Yr5 Cash Flow" sheetId="24" state="hidden" r:id="rId12"/>
    <sheet name="Inst Mat" sheetId="17" state="hidden" r:id="rId13"/>
    <sheet name="Cash Flow 07" sheetId="25" state="hidden" r:id="rId14"/>
    <sheet name="Misc" sheetId="8" state="hidden" r:id="rId15"/>
  </sheets>
  <definedNames>
    <definedName name="_add1">Misc!$B$5</definedName>
    <definedName name="_add2">Misc!$C$5</definedName>
    <definedName name="_add3">Misc!$D$5</definedName>
    <definedName name="_add4">Misc!$E$5</definedName>
    <definedName name="_add5">Misc!$F$5</definedName>
    <definedName name="_xlnm._FilterDatabase" localSheetId="1" hidden="1">Annual!$M$1:$M$249</definedName>
    <definedName name="Inf">Misc!$B$1</definedName>
    <definedName name="ins">Misc!$B$12</definedName>
    <definedName name="para">Misc!$B$8</definedName>
    <definedName name="para1">Misc!$B$9</definedName>
    <definedName name="para2">Misc!$C$9</definedName>
    <definedName name="para3">Misc!$D$9</definedName>
    <definedName name="para4">Misc!$E$9</definedName>
    <definedName name="para5">Misc!$F$9</definedName>
    <definedName name="_xlnm.Print_Area" localSheetId="1">Annual!$A$1:$AC$253</definedName>
    <definedName name="_xlnm.Print_Area" localSheetId="3">Monthly!$A$1:$Q$156</definedName>
    <definedName name="_xlnm.Print_Titles" localSheetId="1">Annual!$1:$5</definedName>
    <definedName name="_xlnm.Print_Titles" localSheetId="13">'Cash Flow 07'!$1:$5</definedName>
    <definedName name="_xlnm.Print_Titles" localSheetId="12">'Inst Mat'!$1:$5</definedName>
    <definedName name="_xlnm.Print_Titles" localSheetId="3">Monthly!$1:$5</definedName>
    <definedName name="_xlnm.Print_Titles" localSheetId="4">Op!$1:$5</definedName>
    <definedName name="_xlnm.Print_Titles" localSheetId="5">'Yr1'!$1:$5</definedName>
    <definedName name="_xlnm.Print_Titles" localSheetId="7">'Yr1 Cash Flow'!$1:$5</definedName>
    <definedName name="_xlnm.Print_Titles" localSheetId="6">'Yr2'!$1:$5</definedName>
    <definedName name="_xlnm.Print_Titles" localSheetId="8">'Yr2 Cash Flow'!$1:$5</definedName>
    <definedName name="_xlnm.Print_Titles" localSheetId="9">'Yr3 Cash Flow'!$1:$5</definedName>
    <definedName name="_xlnm.Print_Titles" localSheetId="10">'Yr4 Cash Flow'!$1:$5</definedName>
    <definedName name="_xlnm.Print_Titles" localSheetId="11">'Yr5 Cash Flow'!$1:$5</definedName>
    <definedName name="Tchr">Misc!$B$4</definedName>
  </definedName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13" i="10" l="1"/>
  <c r="E131" i="26" l="1"/>
  <c r="I131" i="26"/>
  <c r="E72" i="26"/>
  <c r="K72" i="26"/>
  <c r="J72" i="26"/>
  <c r="I72" i="26"/>
  <c r="E80" i="26"/>
  <c r="G80" i="26"/>
  <c r="H80" i="26"/>
  <c r="I80" i="26"/>
  <c r="J80" i="26"/>
  <c r="K80" i="26"/>
  <c r="L80" i="26"/>
  <c r="M80" i="26"/>
  <c r="N80" i="26"/>
  <c r="O80" i="26"/>
  <c r="P80" i="26"/>
  <c r="Q80" i="26"/>
  <c r="F80" i="26"/>
  <c r="E48" i="26"/>
  <c r="H48" i="26"/>
  <c r="G48" i="26"/>
  <c r="F48" i="26"/>
  <c r="E12" i="26"/>
  <c r="G12" i="26" s="1"/>
  <c r="G15" i="26" s="1"/>
  <c r="G155" i="26" s="1"/>
  <c r="Z182" i="10"/>
  <c r="Z36" i="10"/>
  <c r="E10" i="26"/>
  <c r="F10" i="26"/>
  <c r="E13" i="26"/>
  <c r="F13" i="26"/>
  <c r="G10" i="26"/>
  <c r="G13" i="26"/>
  <c r="H10" i="26"/>
  <c r="H13" i="26"/>
  <c r="I10" i="26"/>
  <c r="I13" i="26"/>
  <c r="J10" i="26"/>
  <c r="J13" i="26"/>
  <c r="K10" i="26"/>
  <c r="K13" i="26"/>
  <c r="L10" i="26"/>
  <c r="L13" i="26"/>
  <c r="M10" i="26"/>
  <c r="M13" i="26"/>
  <c r="N10" i="26"/>
  <c r="N13" i="26"/>
  <c r="O10" i="26"/>
  <c r="E11" i="26"/>
  <c r="O11" i="26"/>
  <c r="O13" i="26"/>
  <c r="E14" i="26"/>
  <c r="O14" i="26"/>
  <c r="P10" i="26"/>
  <c r="P13" i="26"/>
  <c r="Q10" i="26"/>
  <c r="Q13" i="26"/>
  <c r="E20" i="26"/>
  <c r="F20" i="26"/>
  <c r="G20" i="26"/>
  <c r="H20" i="26"/>
  <c r="I20" i="26"/>
  <c r="J20" i="26"/>
  <c r="K20" i="26"/>
  <c r="L20" i="26"/>
  <c r="M20" i="26"/>
  <c r="N20" i="26"/>
  <c r="O20" i="26"/>
  <c r="P20" i="26"/>
  <c r="Q20" i="26"/>
  <c r="E19" i="26"/>
  <c r="F19" i="26"/>
  <c r="E21" i="26"/>
  <c r="F21" i="26"/>
  <c r="F22" i="26"/>
  <c r="G19" i="26"/>
  <c r="G21" i="26"/>
  <c r="G22" i="26"/>
  <c r="H19" i="26"/>
  <c r="H21" i="26"/>
  <c r="H22" i="26"/>
  <c r="I19" i="26"/>
  <c r="I21" i="26"/>
  <c r="I22" i="26"/>
  <c r="J19" i="26"/>
  <c r="J21" i="26"/>
  <c r="J22" i="26"/>
  <c r="K19" i="26"/>
  <c r="K21" i="26"/>
  <c r="K22" i="26"/>
  <c r="L19" i="26"/>
  <c r="L21" i="26"/>
  <c r="L22" i="26"/>
  <c r="M19" i="26"/>
  <c r="M21" i="26"/>
  <c r="M22" i="26"/>
  <c r="N19" i="26"/>
  <c r="N21" i="26"/>
  <c r="N22" i="26"/>
  <c r="O19" i="26"/>
  <c r="O21" i="26"/>
  <c r="O22" i="26"/>
  <c r="P19" i="26"/>
  <c r="P21" i="26"/>
  <c r="P22" i="26"/>
  <c r="Q19" i="26"/>
  <c r="Q21" i="26"/>
  <c r="Q22" i="26"/>
  <c r="Z38" i="10"/>
  <c r="Z40" i="10"/>
  <c r="E24" i="26"/>
  <c r="F24" i="26"/>
  <c r="G24" i="26"/>
  <c r="H24" i="26"/>
  <c r="I24" i="26"/>
  <c r="J24" i="26"/>
  <c r="K24" i="26"/>
  <c r="L24" i="26"/>
  <c r="M24" i="26"/>
  <c r="N24" i="26"/>
  <c r="O24" i="26"/>
  <c r="P24" i="26"/>
  <c r="Q24" i="26"/>
  <c r="E23" i="26"/>
  <c r="F23" i="26"/>
  <c r="E25" i="26"/>
  <c r="F25" i="26"/>
  <c r="E26" i="26"/>
  <c r="F26" i="26"/>
  <c r="F28" i="26"/>
  <c r="G23" i="26"/>
  <c r="G25" i="26"/>
  <c r="G26" i="26"/>
  <c r="G28" i="26"/>
  <c r="H23" i="26"/>
  <c r="H25" i="26"/>
  <c r="H26" i="26"/>
  <c r="H28" i="26"/>
  <c r="I23" i="26"/>
  <c r="I25" i="26"/>
  <c r="I26" i="26"/>
  <c r="I28" i="26"/>
  <c r="J23" i="26"/>
  <c r="J25" i="26"/>
  <c r="J26" i="26"/>
  <c r="J28" i="26"/>
  <c r="K23" i="26"/>
  <c r="K25" i="26"/>
  <c r="K26" i="26"/>
  <c r="K28" i="26"/>
  <c r="L23" i="26"/>
  <c r="L25" i="26"/>
  <c r="L26" i="26"/>
  <c r="E27" i="26"/>
  <c r="L27" i="26"/>
  <c r="L28" i="26"/>
  <c r="M23" i="26"/>
  <c r="M25" i="26"/>
  <c r="M26" i="26"/>
  <c r="M27" i="26"/>
  <c r="M28" i="26"/>
  <c r="N23" i="26"/>
  <c r="N25" i="26"/>
  <c r="N26" i="26"/>
  <c r="N28" i="26"/>
  <c r="O23" i="26"/>
  <c r="O25" i="26"/>
  <c r="O26" i="26"/>
  <c r="O28" i="26"/>
  <c r="P23" i="26"/>
  <c r="P25" i="26"/>
  <c r="P26" i="26"/>
  <c r="P28" i="26"/>
  <c r="Q23" i="26"/>
  <c r="Q25" i="26"/>
  <c r="Q26" i="26"/>
  <c r="Q28" i="26"/>
  <c r="E29" i="26"/>
  <c r="F29" i="26"/>
  <c r="E30" i="26"/>
  <c r="F30" i="26"/>
  <c r="E31" i="26"/>
  <c r="F31" i="26"/>
  <c r="E32" i="26"/>
  <c r="F32" i="26"/>
  <c r="E34" i="26"/>
  <c r="F34" i="26"/>
  <c r="E36" i="26"/>
  <c r="F36" i="26"/>
  <c r="E37" i="26"/>
  <c r="F37" i="26"/>
  <c r="F40" i="26"/>
  <c r="F41" i="26"/>
  <c r="G29" i="26"/>
  <c r="G30" i="26"/>
  <c r="G31" i="26"/>
  <c r="G32" i="26"/>
  <c r="G34" i="26"/>
  <c r="G36" i="26"/>
  <c r="G37" i="26"/>
  <c r="G40" i="26"/>
  <c r="G41" i="26"/>
  <c r="H29" i="26"/>
  <c r="H30" i="26"/>
  <c r="H31" i="26"/>
  <c r="H32" i="26"/>
  <c r="E39" i="26"/>
  <c r="H39" i="26"/>
  <c r="H40" i="26"/>
  <c r="H41" i="26"/>
  <c r="I29" i="26"/>
  <c r="I30" i="26"/>
  <c r="I31" i="26"/>
  <c r="I32" i="26"/>
  <c r="I39" i="26"/>
  <c r="I40" i="26"/>
  <c r="I41" i="26"/>
  <c r="J29" i="26"/>
  <c r="J30" i="26"/>
  <c r="J31" i="26"/>
  <c r="J32" i="26"/>
  <c r="J39" i="26"/>
  <c r="J40" i="26"/>
  <c r="J41" i="26"/>
  <c r="K29" i="26"/>
  <c r="K30" i="26"/>
  <c r="K31" i="26"/>
  <c r="K32" i="26"/>
  <c r="K39" i="26"/>
  <c r="K40" i="26"/>
  <c r="K41" i="26"/>
  <c r="L29" i="26"/>
  <c r="L30" i="26"/>
  <c r="L31" i="26"/>
  <c r="L32" i="26"/>
  <c r="L39" i="26"/>
  <c r="L40" i="26"/>
  <c r="L41" i="26"/>
  <c r="M29" i="26"/>
  <c r="M30" i="26"/>
  <c r="M31" i="26"/>
  <c r="M32" i="26"/>
  <c r="M39" i="26"/>
  <c r="M40" i="26"/>
  <c r="M41" i="26"/>
  <c r="N29" i="26"/>
  <c r="N30" i="26"/>
  <c r="N31" i="26"/>
  <c r="N32" i="26"/>
  <c r="N39" i="26"/>
  <c r="N40" i="26"/>
  <c r="N41" i="26"/>
  <c r="O29" i="26"/>
  <c r="O30" i="26"/>
  <c r="O31" i="26"/>
  <c r="O32" i="26"/>
  <c r="O39" i="26"/>
  <c r="O40" i="26"/>
  <c r="O41" i="26"/>
  <c r="P29" i="26"/>
  <c r="P30" i="26"/>
  <c r="P31" i="26"/>
  <c r="P32" i="26"/>
  <c r="P39" i="26"/>
  <c r="P40" i="26"/>
  <c r="P41" i="26"/>
  <c r="Q29" i="26"/>
  <c r="Q30" i="26"/>
  <c r="Q31" i="26"/>
  <c r="Q32" i="26"/>
  <c r="Q40" i="26"/>
  <c r="Q41" i="26"/>
  <c r="E44" i="26"/>
  <c r="F44" i="26"/>
  <c r="G44" i="26"/>
  <c r="H44" i="26"/>
  <c r="I44" i="26"/>
  <c r="J44" i="26"/>
  <c r="K44" i="26"/>
  <c r="L44" i="26"/>
  <c r="M44" i="26"/>
  <c r="N44" i="26"/>
  <c r="O44" i="26"/>
  <c r="P44" i="26"/>
  <c r="Q44" i="26"/>
  <c r="F45" i="26"/>
  <c r="G45" i="26"/>
  <c r="H45" i="26"/>
  <c r="I45" i="26"/>
  <c r="J45" i="26"/>
  <c r="K45" i="26"/>
  <c r="L45" i="26"/>
  <c r="M45" i="26"/>
  <c r="N45" i="26"/>
  <c r="O45" i="26"/>
  <c r="P45" i="26"/>
  <c r="Q45" i="26"/>
  <c r="Z96" i="10"/>
  <c r="Z98" i="10"/>
  <c r="E47" i="26"/>
  <c r="F47" i="26"/>
  <c r="G47" i="26"/>
  <c r="H47" i="26"/>
  <c r="I47" i="26"/>
  <c r="J47" i="26"/>
  <c r="K47" i="26"/>
  <c r="L47" i="26"/>
  <c r="M47" i="26"/>
  <c r="N47" i="26"/>
  <c r="O47" i="26"/>
  <c r="P47" i="26"/>
  <c r="Q47" i="26"/>
  <c r="E46" i="26"/>
  <c r="F46" i="26"/>
  <c r="E49" i="26"/>
  <c r="F49" i="26"/>
  <c r="E50" i="26"/>
  <c r="F50" i="26"/>
  <c r="F51" i="26"/>
  <c r="G46" i="26"/>
  <c r="G49" i="26"/>
  <c r="G50" i="26"/>
  <c r="G51" i="26"/>
  <c r="H46" i="26"/>
  <c r="H49" i="26"/>
  <c r="H50" i="26"/>
  <c r="H51" i="26"/>
  <c r="I46" i="26"/>
  <c r="I48" i="26"/>
  <c r="I49" i="26"/>
  <c r="I50" i="26"/>
  <c r="I51" i="26"/>
  <c r="J46" i="26"/>
  <c r="J48" i="26"/>
  <c r="J49" i="26"/>
  <c r="J50" i="26"/>
  <c r="J51" i="26"/>
  <c r="K46" i="26"/>
  <c r="K48" i="26"/>
  <c r="K49" i="26"/>
  <c r="K50" i="26"/>
  <c r="K51" i="26"/>
  <c r="L46" i="26"/>
  <c r="L48" i="26"/>
  <c r="L49" i="26"/>
  <c r="L50" i="26"/>
  <c r="L51" i="26"/>
  <c r="M46" i="26"/>
  <c r="M48" i="26"/>
  <c r="M49" i="26"/>
  <c r="M50" i="26"/>
  <c r="M51" i="26"/>
  <c r="N46" i="26"/>
  <c r="N48" i="26"/>
  <c r="N49" i="26"/>
  <c r="N50" i="26"/>
  <c r="N51" i="26"/>
  <c r="O46" i="26"/>
  <c r="O48" i="26"/>
  <c r="O49" i="26"/>
  <c r="O50" i="26"/>
  <c r="O51" i="26"/>
  <c r="P46" i="26"/>
  <c r="P48" i="26"/>
  <c r="P49" i="26"/>
  <c r="P50" i="26"/>
  <c r="P51" i="26"/>
  <c r="Q46" i="26"/>
  <c r="Q48" i="26"/>
  <c r="Q49" i="26"/>
  <c r="Q50" i="26"/>
  <c r="Q51" i="26"/>
  <c r="E52" i="26"/>
  <c r="F52" i="26"/>
  <c r="F53" i="26"/>
  <c r="F54" i="26"/>
  <c r="G52" i="26"/>
  <c r="G53" i="26"/>
  <c r="G54" i="26"/>
  <c r="H52" i="26"/>
  <c r="H53" i="26"/>
  <c r="H54" i="26"/>
  <c r="I52" i="26"/>
  <c r="I53" i="26"/>
  <c r="I54" i="26"/>
  <c r="J52" i="26"/>
  <c r="J53" i="26"/>
  <c r="J54" i="26"/>
  <c r="K52" i="26"/>
  <c r="K53" i="26"/>
  <c r="K54" i="26"/>
  <c r="L52" i="26"/>
  <c r="L53" i="26"/>
  <c r="L54" i="26"/>
  <c r="M52" i="26"/>
  <c r="M53" i="26"/>
  <c r="M54" i="26"/>
  <c r="N52" i="26"/>
  <c r="N53" i="26"/>
  <c r="N54" i="26"/>
  <c r="O52" i="26"/>
  <c r="O53" i="26"/>
  <c r="O54" i="26"/>
  <c r="P52" i="26"/>
  <c r="P53" i="26"/>
  <c r="P54" i="26"/>
  <c r="Q52" i="26"/>
  <c r="Q53" i="26"/>
  <c r="Q54" i="26"/>
  <c r="E70" i="26"/>
  <c r="I70" i="26"/>
  <c r="E71" i="26"/>
  <c r="I71" i="26"/>
  <c r="E73" i="26"/>
  <c r="I73" i="26"/>
  <c r="I75" i="26"/>
  <c r="J70" i="26"/>
  <c r="J71" i="26"/>
  <c r="J73" i="26"/>
  <c r="J75" i="26"/>
  <c r="K70" i="26"/>
  <c r="K71" i="26"/>
  <c r="K73" i="26"/>
  <c r="K75" i="26"/>
  <c r="E76" i="26"/>
  <c r="F76" i="26"/>
  <c r="E78" i="26"/>
  <c r="F78" i="26"/>
  <c r="E79" i="26"/>
  <c r="F79" i="26"/>
  <c r="E81" i="26"/>
  <c r="F81" i="26"/>
  <c r="E82" i="26"/>
  <c r="F82" i="26"/>
  <c r="F84" i="26"/>
  <c r="G76" i="26"/>
  <c r="G78" i="26"/>
  <c r="G79" i="26"/>
  <c r="G81" i="26"/>
  <c r="G82" i="26"/>
  <c r="G84" i="26"/>
  <c r="H76" i="26"/>
  <c r="H78" i="26"/>
  <c r="H79" i="26"/>
  <c r="H81" i="26"/>
  <c r="H82" i="26"/>
  <c r="H84" i="26"/>
  <c r="I76" i="26"/>
  <c r="I78" i="26"/>
  <c r="I79" i="26"/>
  <c r="I81" i="26"/>
  <c r="I82" i="26"/>
  <c r="I84" i="26"/>
  <c r="J76" i="26"/>
  <c r="J78" i="26"/>
  <c r="J79" i="26"/>
  <c r="J81" i="26"/>
  <c r="J82" i="26"/>
  <c r="J84" i="26"/>
  <c r="K76" i="26"/>
  <c r="K78" i="26"/>
  <c r="K79" i="26"/>
  <c r="K81" i="26"/>
  <c r="K82" i="26"/>
  <c r="K84" i="26"/>
  <c r="L76" i="26"/>
  <c r="L78" i="26"/>
  <c r="L79" i="26"/>
  <c r="L81" i="26"/>
  <c r="L82" i="26"/>
  <c r="L84" i="26"/>
  <c r="M76" i="26"/>
  <c r="M78" i="26"/>
  <c r="M79" i="26"/>
  <c r="M81" i="26"/>
  <c r="M82" i="26"/>
  <c r="M84" i="26"/>
  <c r="N76" i="26"/>
  <c r="N78" i="26"/>
  <c r="N79" i="26"/>
  <c r="N81" i="26"/>
  <c r="N82" i="26"/>
  <c r="N84" i="26"/>
  <c r="O76" i="26"/>
  <c r="O78" i="26"/>
  <c r="O79" i="26"/>
  <c r="O81" i="26"/>
  <c r="O82" i="26"/>
  <c r="O84" i="26"/>
  <c r="P76" i="26"/>
  <c r="P78" i="26"/>
  <c r="P79" i="26"/>
  <c r="P81" i="26"/>
  <c r="P82" i="26"/>
  <c r="P84" i="26"/>
  <c r="Q76" i="26"/>
  <c r="Q78" i="26"/>
  <c r="Q79" i="26"/>
  <c r="Q81" i="26"/>
  <c r="Q82" i="26"/>
  <c r="Q84" i="26"/>
  <c r="F70" i="26"/>
  <c r="F71" i="26"/>
  <c r="F72" i="26"/>
  <c r="F73" i="26"/>
  <c r="F75" i="26"/>
  <c r="E67" i="26"/>
  <c r="F67" i="26"/>
  <c r="E68" i="26"/>
  <c r="F68" i="26"/>
  <c r="F69" i="26"/>
  <c r="F85" i="26"/>
  <c r="G70" i="26"/>
  <c r="G71" i="26"/>
  <c r="G72" i="26"/>
  <c r="G73" i="26"/>
  <c r="G75" i="26"/>
  <c r="G67" i="26"/>
  <c r="G68" i="26"/>
  <c r="G69" i="26"/>
  <c r="G85" i="26"/>
  <c r="H70" i="26"/>
  <c r="H71" i="26"/>
  <c r="H72" i="26"/>
  <c r="H73" i="26"/>
  <c r="H75" i="26"/>
  <c r="H67" i="26"/>
  <c r="H68" i="26"/>
  <c r="H69" i="26"/>
  <c r="H85" i="26"/>
  <c r="I67" i="26"/>
  <c r="I68" i="26"/>
  <c r="I69" i="26"/>
  <c r="I85" i="26"/>
  <c r="J67" i="26"/>
  <c r="J68" i="26"/>
  <c r="J69" i="26"/>
  <c r="J85" i="26"/>
  <c r="K67" i="26"/>
  <c r="K68" i="26"/>
  <c r="K69" i="26"/>
  <c r="K85" i="26"/>
  <c r="L70" i="26"/>
  <c r="L71" i="26"/>
  <c r="L72" i="26"/>
  <c r="L73" i="26"/>
  <c r="E74" i="26"/>
  <c r="L74" i="26"/>
  <c r="L75" i="26"/>
  <c r="L67" i="26"/>
  <c r="L68" i="26"/>
  <c r="L69" i="26"/>
  <c r="L85" i="26"/>
  <c r="M70" i="26"/>
  <c r="M71" i="26"/>
  <c r="M72" i="26"/>
  <c r="M73" i="26"/>
  <c r="M74" i="26"/>
  <c r="M75" i="26"/>
  <c r="M67" i="26"/>
  <c r="M68" i="26"/>
  <c r="M69" i="26"/>
  <c r="M85" i="26"/>
  <c r="N70" i="26"/>
  <c r="N71" i="26"/>
  <c r="N72" i="26"/>
  <c r="N73" i="26"/>
  <c r="N75" i="26"/>
  <c r="N67" i="26"/>
  <c r="N68" i="26"/>
  <c r="N69" i="26"/>
  <c r="N85" i="26"/>
  <c r="O70" i="26"/>
  <c r="O71" i="26"/>
  <c r="O72" i="26"/>
  <c r="O73" i="26"/>
  <c r="O75" i="26"/>
  <c r="O67" i="26"/>
  <c r="O68" i="26"/>
  <c r="O69" i="26"/>
  <c r="O85" i="26"/>
  <c r="P70" i="26"/>
  <c r="P71" i="26"/>
  <c r="P72" i="26"/>
  <c r="P73" i="26"/>
  <c r="P75" i="26"/>
  <c r="P67" i="26"/>
  <c r="P68" i="26"/>
  <c r="P69" i="26"/>
  <c r="P85" i="26"/>
  <c r="Q70" i="26"/>
  <c r="Q71" i="26"/>
  <c r="Q72" i="26"/>
  <c r="Q73" i="26"/>
  <c r="Q75" i="26"/>
  <c r="Q67" i="26"/>
  <c r="Q68" i="26"/>
  <c r="Q69" i="26"/>
  <c r="Q85" i="26"/>
  <c r="E99" i="26"/>
  <c r="F99" i="26"/>
  <c r="G99" i="26"/>
  <c r="H99" i="26"/>
  <c r="I99" i="26"/>
  <c r="J99" i="26"/>
  <c r="K99" i="26"/>
  <c r="L99" i="26"/>
  <c r="M99" i="26"/>
  <c r="N99" i="26"/>
  <c r="O99" i="26"/>
  <c r="P99" i="26"/>
  <c r="Q99" i="26"/>
  <c r="F100" i="26"/>
  <c r="G100" i="26"/>
  <c r="H100" i="26"/>
  <c r="I100" i="26"/>
  <c r="J100" i="26"/>
  <c r="K100" i="26"/>
  <c r="L100" i="26"/>
  <c r="M100" i="26"/>
  <c r="N100" i="26"/>
  <c r="O100" i="26"/>
  <c r="P100" i="26"/>
  <c r="Q100" i="26"/>
  <c r="Z183" i="10"/>
  <c r="Z185" i="10"/>
  <c r="E102" i="26"/>
  <c r="F102" i="26"/>
  <c r="G102" i="26"/>
  <c r="H102" i="26"/>
  <c r="I102" i="26"/>
  <c r="J102" i="26"/>
  <c r="K102" i="26"/>
  <c r="L102" i="26"/>
  <c r="M102" i="26"/>
  <c r="N102" i="26"/>
  <c r="O102" i="26"/>
  <c r="P102" i="26"/>
  <c r="Q102" i="26"/>
  <c r="E103" i="26"/>
  <c r="F103" i="26"/>
  <c r="E104" i="26"/>
  <c r="F104" i="26"/>
  <c r="F106" i="26"/>
  <c r="G103" i="26"/>
  <c r="G104" i="26"/>
  <c r="G106" i="26"/>
  <c r="H103" i="26"/>
  <c r="H104" i="26"/>
  <c r="H106" i="26"/>
  <c r="I103" i="26"/>
  <c r="I104" i="26"/>
  <c r="I106" i="26"/>
  <c r="J103" i="26"/>
  <c r="J104" i="26"/>
  <c r="J106" i="26"/>
  <c r="K103" i="26"/>
  <c r="K104" i="26"/>
  <c r="K106" i="26"/>
  <c r="L103" i="26"/>
  <c r="L104" i="26"/>
  <c r="E105" i="26"/>
  <c r="L105" i="26"/>
  <c r="L106" i="26"/>
  <c r="M103" i="26"/>
  <c r="M104" i="26"/>
  <c r="M105" i="26"/>
  <c r="M106" i="26"/>
  <c r="N103" i="26"/>
  <c r="N104" i="26"/>
  <c r="N106" i="26"/>
  <c r="O103" i="26"/>
  <c r="O104" i="26"/>
  <c r="O106" i="26"/>
  <c r="P103" i="26"/>
  <c r="P104" i="26"/>
  <c r="P106" i="26"/>
  <c r="Q103" i="26"/>
  <c r="Q104" i="26"/>
  <c r="Q106" i="26"/>
  <c r="F108" i="26"/>
  <c r="G107" i="26"/>
  <c r="G108" i="26"/>
  <c r="H107" i="26"/>
  <c r="H108" i="26"/>
  <c r="I107" i="26"/>
  <c r="I108" i="26"/>
  <c r="J107" i="26"/>
  <c r="J108" i="26"/>
  <c r="K107" i="26"/>
  <c r="K108" i="26"/>
  <c r="L107" i="26"/>
  <c r="L108" i="26"/>
  <c r="M107" i="26"/>
  <c r="M108" i="26"/>
  <c r="N107" i="26"/>
  <c r="N108" i="26"/>
  <c r="O108" i="26"/>
  <c r="P108" i="26"/>
  <c r="Q108" i="26"/>
  <c r="E129" i="26"/>
  <c r="I129" i="26"/>
  <c r="E130" i="26"/>
  <c r="I130" i="26"/>
  <c r="E132" i="26"/>
  <c r="I132" i="26"/>
  <c r="I134" i="26"/>
  <c r="E127" i="26"/>
  <c r="I127" i="26"/>
  <c r="I128" i="26"/>
  <c r="E135" i="26"/>
  <c r="I135" i="26"/>
  <c r="E137" i="26"/>
  <c r="I137" i="26"/>
  <c r="E138" i="26"/>
  <c r="I138" i="26"/>
  <c r="E139" i="26"/>
  <c r="I139" i="26"/>
  <c r="E140" i="26"/>
  <c r="I140" i="26"/>
  <c r="I141" i="26"/>
  <c r="I142" i="26"/>
  <c r="E57" i="26"/>
  <c r="F57" i="26"/>
  <c r="E58" i="26"/>
  <c r="F58" i="26"/>
  <c r="E62" i="26"/>
  <c r="F62" i="26"/>
  <c r="F64" i="26"/>
  <c r="E88" i="26"/>
  <c r="F88" i="26"/>
  <c r="F91" i="26"/>
  <c r="E93" i="26"/>
  <c r="F93" i="26"/>
  <c r="E94" i="26"/>
  <c r="F94" i="26"/>
  <c r="F95" i="26"/>
  <c r="F96" i="26"/>
  <c r="E114" i="26"/>
  <c r="F114" i="26"/>
  <c r="F115" i="26"/>
  <c r="E116" i="26"/>
  <c r="F116" i="26"/>
  <c r="E117" i="26"/>
  <c r="F117" i="26"/>
  <c r="E118" i="26"/>
  <c r="F118" i="26"/>
  <c r="E120" i="26"/>
  <c r="F120" i="26"/>
  <c r="F121" i="26"/>
  <c r="F124" i="26"/>
  <c r="F127" i="26"/>
  <c r="F128" i="26"/>
  <c r="F129" i="26"/>
  <c r="F130" i="26"/>
  <c r="F131" i="26"/>
  <c r="F132" i="26"/>
  <c r="F134" i="26"/>
  <c r="F135" i="26"/>
  <c r="F137" i="26"/>
  <c r="F138" i="26"/>
  <c r="F139" i="26"/>
  <c r="F140" i="26"/>
  <c r="F141" i="26"/>
  <c r="F142" i="26"/>
  <c r="E145" i="26"/>
  <c r="F145" i="26"/>
  <c r="F147" i="26"/>
  <c r="F150" i="26"/>
  <c r="F151" i="26"/>
  <c r="F153" i="26"/>
  <c r="G57" i="26"/>
  <c r="G58" i="26"/>
  <c r="G62" i="26"/>
  <c r="G64" i="26"/>
  <c r="G88" i="26"/>
  <c r="G91" i="26"/>
  <c r="G93" i="26"/>
  <c r="G94" i="26"/>
  <c r="G95" i="26"/>
  <c r="G96" i="26"/>
  <c r="G114" i="26"/>
  <c r="G115" i="26"/>
  <c r="G116" i="26"/>
  <c r="G117" i="26"/>
  <c r="G118" i="26"/>
  <c r="G120" i="26"/>
  <c r="G121" i="26"/>
  <c r="G124" i="26"/>
  <c r="G127" i="26"/>
  <c r="G128" i="26"/>
  <c r="G129" i="26"/>
  <c r="G130" i="26"/>
  <c r="G131" i="26"/>
  <c r="G132" i="26"/>
  <c r="G134" i="26"/>
  <c r="G135" i="26"/>
  <c r="G137" i="26"/>
  <c r="G138" i="26"/>
  <c r="G139" i="26"/>
  <c r="G140" i="26"/>
  <c r="G141" i="26"/>
  <c r="G142" i="26"/>
  <c r="G145" i="26"/>
  <c r="G147" i="26"/>
  <c r="G150" i="26"/>
  <c r="G151" i="26"/>
  <c r="G153" i="26"/>
  <c r="H57" i="26"/>
  <c r="H58" i="26"/>
  <c r="H62" i="26"/>
  <c r="H64" i="26"/>
  <c r="H88" i="26"/>
  <c r="H91" i="26"/>
  <c r="H93" i="26"/>
  <c r="H94" i="26"/>
  <c r="H95" i="26"/>
  <c r="H96" i="26"/>
  <c r="H114" i="26"/>
  <c r="H115" i="26"/>
  <c r="H116" i="26"/>
  <c r="H117" i="26"/>
  <c r="H118" i="26"/>
  <c r="H120" i="26"/>
  <c r="H121" i="26"/>
  <c r="H124" i="26"/>
  <c r="H127" i="26"/>
  <c r="H128" i="26"/>
  <c r="H129" i="26"/>
  <c r="H130" i="26"/>
  <c r="H131" i="26"/>
  <c r="H132" i="26"/>
  <c r="H134" i="26"/>
  <c r="H135" i="26"/>
  <c r="H137" i="26"/>
  <c r="H138" i="26"/>
  <c r="H139" i="26"/>
  <c r="H140" i="26"/>
  <c r="H141" i="26"/>
  <c r="H142" i="26"/>
  <c r="H145" i="26"/>
  <c r="H147" i="26"/>
  <c r="H150" i="26"/>
  <c r="H151" i="26"/>
  <c r="H153" i="26"/>
  <c r="I57" i="26"/>
  <c r="I58" i="26"/>
  <c r="I62" i="26"/>
  <c r="I64" i="26"/>
  <c r="I88" i="26"/>
  <c r="I91" i="26"/>
  <c r="I93" i="26"/>
  <c r="I94" i="26"/>
  <c r="I95" i="26"/>
  <c r="I96" i="26"/>
  <c r="I114" i="26"/>
  <c r="I115" i="26"/>
  <c r="I116" i="26"/>
  <c r="I117" i="26"/>
  <c r="I118" i="26"/>
  <c r="I120" i="26"/>
  <c r="I121" i="26"/>
  <c r="I124" i="26"/>
  <c r="I145" i="26"/>
  <c r="I147" i="26"/>
  <c r="I150" i="26"/>
  <c r="I151" i="26"/>
  <c r="I153" i="26"/>
  <c r="J57" i="26"/>
  <c r="J58" i="26"/>
  <c r="J62" i="26"/>
  <c r="J64" i="26"/>
  <c r="J88" i="26"/>
  <c r="J91" i="26"/>
  <c r="J93" i="26"/>
  <c r="J94" i="26"/>
  <c r="J95" i="26"/>
  <c r="J96" i="26"/>
  <c r="J114" i="26"/>
  <c r="J115" i="26"/>
  <c r="J116" i="26"/>
  <c r="J117" i="26"/>
  <c r="J118" i="26"/>
  <c r="J120" i="26"/>
  <c r="J121" i="26"/>
  <c r="J124" i="26"/>
  <c r="J127" i="26"/>
  <c r="J128" i="26"/>
  <c r="J129" i="26"/>
  <c r="J130" i="26"/>
  <c r="J131" i="26"/>
  <c r="J132" i="26"/>
  <c r="J134" i="26"/>
  <c r="J135" i="26"/>
  <c r="J137" i="26"/>
  <c r="J138" i="26"/>
  <c r="J139" i="26"/>
  <c r="J140" i="26"/>
  <c r="J141" i="26"/>
  <c r="J142" i="26"/>
  <c r="J145" i="26"/>
  <c r="J147" i="26"/>
  <c r="J150" i="26"/>
  <c r="J151" i="26"/>
  <c r="J153" i="26"/>
  <c r="K57" i="26"/>
  <c r="K58" i="26"/>
  <c r="K62" i="26"/>
  <c r="K64" i="26"/>
  <c r="K88" i="26"/>
  <c r="K91" i="26"/>
  <c r="K93" i="26"/>
  <c r="K94" i="26"/>
  <c r="K95" i="26"/>
  <c r="K96" i="26"/>
  <c r="K114" i="26"/>
  <c r="K115" i="26"/>
  <c r="K116" i="26"/>
  <c r="K117" i="26"/>
  <c r="K118" i="26"/>
  <c r="K120" i="26"/>
  <c r="K121" i="26"/>
  <c r="K124" i="26"/>
  <c r="K127" i="26"/>
  <c r="K128" i="26"/>
  <c r="K129" i="26"/>
  <c r="K130" i="26"/>
  <c r="K131" i="26"/>
  <c r="K132" i="26"/>
  <c r="K134" i="26"/>
  <c r="K135" i="26"/>
  <c r="K137" i="26"/>
  <c r="K138" i="26"/>
  <c r="K139" i="26"/>
  <c r="K140" i="26"/>
  <c r="K141" i="26"/>
  <c r="K142" i="26"/>
  <c r="K145" i="26"/>
  <c r="K147" i="26"/>
  <c r="K150" i="26"/>
  <c r="K151" i="26"/>
  <c r="K153" i="26"/>
  <c r="L57" i="26"/>
  <c r="L58" i="26"/>
  <c r="L62" i="26"/>
  <c r="L64" i="26"/>
  <c r="L88" i="26"/>
  <c r="L91" i="26"/>
  <c r="L93" i="26"/>
  <c r="L94" i="26"/>
  <c r="L95" i="26"/>
  <c r="L96" i="26"/>
  <c r="L114" i="26"/>
  <c r="L115" i="26"/>
  <c r="L116" i="26"/>
  <c r="L117" i="26"/>
  <c r="L118" i="26"/>
  <c r="E119" i="26"/>
  <c r="L119" i="26"/>
  <c r="L120" i="26"/>
  <c r="L121" i="26"/>
  <c r="L124" i="26"/>
  <c r="L127" i="26"/>
  <c r="L128" i="26"/>
  <c r="L129" i="26"/>
  <c r="L130" i="26"/>
  <c r="L131" i="26"/>
  <c r="L132" i="26"/>
  <c r="E133" i="26"/>
  <c r="L133" i="26"/>
  <c r="L134" i="26"/>
  <c r="L135" i="26"/>
  <c r="L137" i="26"/>
  <c r="L138" i="26"/>
  <c r="L139" i="26"/>
  <c r="L140" i="26"/>
  <c r="L141" i="26"/>
  <c r="L142" i="26"/>
  <c r="L145" i="26"/>
  <c r="L147" i="26"/>
  <c r="L150" i="26"/>
  <c r="L151" i="26"/>
  <c r="L153" i="26"/>
  <c r="M57" i="26"/>
  <c r="M58" i="26"/>
  <c r="M62" i="26"/>
  <c r="M64" i="26"/>
  <c r="M88" i="26"/>
  <c r="M91" i="26"/>
  <c r="M93" i="26"/>
  <c r="M94" i="26"/>
  <c r="M95" i="26"/>
  <c r="M96" i="26"/>
  <c r="M114" i="26"/>
  <c r="M115" i="26"/>
  <c r="M116" i="26"/>
  <c r="M117" i="26"/>
  <c r="M118" i="26"/>
  <c r="M119" i="26"/>
  <c r="M120" i="26"/>
  <c r="M121" i="26"/>
  <c r="M124" i="26"/>
  <c r="M127" i="26"/>
  <c r="M128" i="26"/>
  <c r="M129" i="26"/>
  <c r="M130" i="26"/>
  <c r="M131" i="26"/>
  <c r="M132" i="26"/>
  <c r="M133" i="26"/>
  <c r="M134" i="26"/>
  <c r="M135" i="26"/>
  <c r="M137" i="26"/>
  <c r="M138" i="26"/>
  <c r="M139" i="26"/>
  <c r="M140" i="26"/>
  <c r="M141" i="26"/>
  <c r="M142" i="26"/>
  <c r="M145" i="26"/>
  <c r="M147" i="26"/>
  <c r="M150" i="26"/>
  <c r="M151" i="26"/>
  <c r="M153" i="26"/>
  <c r="N57" i="26"/>
  <c r="N58" i="26"/>
  <c r="N62" i="26"/>
  <c r="N64" i="26"/>
  <c r="N88" i="26"/>
  <c r="N91" i="26"/>
  <c r="N93" i="26"/>
  <c r="N94" i="26"/>
  <c r="N95" i="26"/>
  <c r="N96" i="26"/>
  <c r="N114" i="26"/>
  <c r="N115" i="26"/>
  <c r="N116" i="26"/>
  <c r="N117" i="26"/>
  <c r="N118" i="26"/>
  <c r="N119" i="26"/>
  <c r="N120" i="26"/>
  <c r="N121" i="26"/>
  <c r="N124" i="26"/>
  <c r="N127" i="26"/>
  <c r="N128" i="26"/>
  <c r="N129" i="26"/>
  <c r="N130" i="26"/>
  <c r="N131" i="26"/>
  <c r="N132" i="26"/>
  <c r="N134" i="26"/>
  <c r="N135" i="26"/>
  <c r="N137" i="26"/>
  <c r="N138" i="26"/>
  <c r="N139" i="26"/>
  <c r="N140" i="26"/>
  <c r="N141" i="26"/>
  <c r="N142" i="26"/>
  <c r="N145" i="26"/>
  <c r="N147" i="26"/>
  <c r="N150" i="26"/>
  <c r="N151" i="26"/>
  <c r="N153" i="26"/>
  <c r="O57" i="26"/>
  <c r="O58" i="26"/>
  <c r="O62" i="26"/>
  <c r="O64" i="26"/>
  <c r="O88" i="26"/>
  <c r="O91" i="26"/>
  <c r="O93" i="26"/>
  <c r="O94" i="26"/>
  <c r="O95" i="26"/>
  <c r="O96" i="26"/>
  <c r="E111" i="26"/>
  <c r="O111" i="26"/>
  <c r="O114" i="26"/>
  <c r="O115" i="26"/>
  <c r="O116" i="26"/>
  <c r="O117" i="26"/>
  <c r="O118" i="26"/>
  <c r="O120" i="26"/>
  <c r="O121" i="26"/>
  <c r="O124" i="26"/>
  <c r="O127" i="26"/>
  <c r="O128" i="26"/>
  <c r="O129" i="26"/>
  <c r="O130" i="26"/>
  <c r="O131" i="26"/>
  <c r="O132" i="26"/>
  <c r="O134" i="26"/>
  <c r="O135" i="26"/>
  <c r="O137" i="26"/>
  <c r="O138" i="26"/>
  <c r="O139" i="26"/>
  <c r="O140" i="26"/>
  <c r="O141" i="26"/>
  <c r="O142" i="26"/>
  <c r="O145" i="26"/>
  <c r="O147" i="26"/>
  <c r="O150" i="26"/>
  <c r="O151" i="26"/>
  <c r="O153" i="26"/>
  <c r="P57" i="26"/>
  <c r="P58" i="26"/>
  <c r="P62" i="26"/>
  <c r="P64" i="26"/>
  <c r="P88" i="26"/>
  <c r="P91" i="26"/>
  <c r="P93" i="26"/>
  <c r="P94" i="26"/>
  <c r="P95" i="26"/>
  <c r="P96" i="26"/>
  <c r="P111" i="26"/>
  <c r="P114" i="26"/>
  <c r="P115" i="26"/>
  <c r="P116" i="26"/>
  <c r="P117" i="26"/>
  <c r="P118" i="26"/>
  <c r="P120" i="26"/>
  <c r="P121" i="26"/>
  <c r="P124" i="26"/>
  <c r="P127" i="26"/>
  <c r="P128" i="26"/>
  <c r="P129" i="26"/>
  <c r="P130" i="26"/>
  <c r="P131" i="26"/>
  <c r="P132" i="26"/>
  <c r="P134" i="26"/>
  <c r="P135" i="26"/>
  <c r="P137" i="26"/>
  <c r="P138" i="26"/>
  <c r="P139" i="26"/>
  <c r="P140" i="26"/>
  <c r="P141" i="26"/>
  <c r="P142" i="26"/>
  <c r="P145" i="26"/>
  <c r="P147" i="26"/>
  <c r="P150" i="26"/>
  <c r="P151" i="26"/>
  <c r="P153" i="26"/>
  <c r="Q57" i="26"/>
  <c r="Q58" i="26"/>
  <c r="Q62" i="26"/>
  <c r="Q64" i="26"/>
  <c r="Q88" i="26"/>
  <c r="Q91" i="26"/>
  <c r="Q93" i="26"/>
  <c r="Q94" i="26"/>
  <c r="Q95" i="26"/>
  <c r="Q96" i="26"/>
  <c r="Q111" i="26"/>
  <c r="Q114" i="26"/>
  <c r="Q115" i="26"/>
  <c r="Q116" i="26"/>
  <c r="Q117" i="26"/>
  <c r="Q118" i="26"/>
  <c r="Q119" i="26"/>
  <c r="Q120" i="26"/>
  <c r="Q121" i="26"/>
  <c r="Q124" i="26"/>
  <c r="Q127" i="26"/>
  <c r="Q128" i="26"/>
  <c r="Q129" i="26"/>
  <c r="Q130" i="26"/>
  <c r="Q131" i="26"/>
  <c r="Q132" i="26"/>
  <c r="Q134" i="26"/>
  <c r="Q135" i="26"/>
  <c r="Q137" i="26"/>
  <c r="Q138" i="26"/>
  <c r="Q139" i="26"/>
  <c r="Q140" i="26"/>
  <c r="Q141" i="26"/>
  <c r="Q142" i="26"/>
  <c r="Q145" i="26"/>
  <c r="Q147" i="26"/>
  <c r="Q150" i="26"/>
  <c r="Q151" i="26"/>
  <c r="Q153" i="26"/>
  <c r="E28" i="26"/>
  <c r="E22" i="26"/>
  <c r="E33" i="26"/>
  <c r="E35" i="26"/>
  <c r="E38" i="26"/>
  <c r="E40" i="26"/>
  <c r="E41" i="26"/>
  <c r="E45" i="26"/>
  <c r="E51" i="26"/>
  <c r="E53" i="26"/>
  <c r="E54" i="26"/>
  <c r="E100" i="26"/>
  <c r="E101" i="26"/>
  <c r="E106" i="26"/>
  <c r="E108" i="26"/>
  <c r="E59" i="26"/>
  <c r="E60" i="26"/>
  <c r="E61" i="26"/>
  <c r="E63" i="26"/>
  <c r="E64" i="26"/>
  <c r="E77" i="26"/>
  <c r="E83" i="26"/>
  <c r="E84" i="26"/>
  <c r="E75" i="26"/>
  <c r="E69" i="26"/>
  <c r="E85" i="26"/>
  <c r="E89" i="26"/>
  <c r="E91" i="26"/>
  <c r="E95" i="26"/>
  <c r="E96" i="26"/>
  <c r="E115" i="26"/>
  <c r="E121" i="26"/>
  <c r="E124" i="26"/>
  <c r="E128" i="26"/>
  <c r="E134" i="26"/>
  <c r="E136" i="26"/>
  <c r="E141" i="26"/>
  <c r="E142" i="26"/>
  <c r="E147" i="26"/>
  <c r="E151" i="26"/>
  <c r="E153" i="26"/>
  <c r="Z10" i="10"/>
  <c r="Z128" i="10"/>
  <c r="Z120" i="10"/>
  <c r="AB226" i="10"/>
  <c r="AC226" i="10"/>
  <c r="AB220" i="10"/>
  <c r="AC220" i="10"/>
  <c r="AB206" i="10"/>
  <c r="AC206" i="10"/>
  <c r="AB200" i="10"/>
  <c r="AC200" i="10"/>
  <c r="AA196" i="10"/>
  <c r="AB196" i="10"/>
  <c r="AC196" i="10"/>
  <c r="AB183" i="10"/>
  <c r="AC183" i="10"/>
  <c r="AB143" i="10"/>
  <c r="AC143" i="10"/>
  <c r="AB137" i="10"/>
  <c r="AC137" i="10"/>
  <c r="AB130" i="10"/>
  <c r="AC130" i="10"/>
  <c r="AB96" i="10"/>
  <c r="AC96" i="10"/>
  <c r="AA48" i="10"/>
  <c r="AB48" i="10"/>
  <c r="AC48" i="10"/>
  <c r="AB45" i="10"/>
  <c r="AB252" i="10"/>
  <c r="AC45" i="10"/>
  <c r="AC252" i="10"/>
  <c r="AB38" i="10"/>
  <c r="AC38" i="10"/>
  <c r="AA11" i="10"/>
  <c r="AB11" i="10"/>
  <c r="AC11" i="10"/>
  <c r="AB17" i="10"/>
  <c r="AB247" i="10"/>
  <c r="AC17" i="10"/>
  <c r="AC247" i="10"/>
  <c r="Z243" i="10"/>
  <c r="O243" i="10"/>
  <c r="E33" i="27"/>
  <c r="Z219" i="10"/>
  <c r="E27" i="27"/>
  <c r="E28" i="27"/>
  <c r="E29" i="27"/>
  <c r="Z136" i="10"/>
  <c r="E30" i="27"/>
  <c r="Z199" i="10"/>
  <c r="E31" i="27"/>
  <c r="E32" i="27"/>
  <c r="Z140" i="10"/>
  <c r="E22" i="27"/>
  <c r="E23" i="27"/>
  <c r="E24" i="27"/>
  <c r="E25" i="27"/>
  <c r="Z133" i="10"/>
  <c r="E12" i="27"/>
  <c r="E13" i="27"/>
  <c r="E14" i="27"/>
  <c r="E15" i="27"/>
  <c r="E16" i="27"/>
  <c r="E17" i="27"/>
  <c r="E18" i="27"/>
  <c r="E11" i="27"/>
  <c r="Z95" i="10"/>
  <c r="E19" i="27"/>
  <c r="Z37" i="10"/>
  <c r="E6" i="27"/>
  <c r="E7" i="27"/>
  <c r="E8" i="27"/>
  <c r="E9" i="27"/>
  <c r="Z34" i="10"/>
  <c r="B13" i="26"/>
  <c r="E34" i="27"/>
  <c r="D34" i="27"/>
  <c r="D25" i="27"/>
  <c r="E20" i="27"/>
  <c r="D20" i="27"/>
  <c r="D9" i="27"/>
  <c r="D37" i="27"/>
  <c r="O38" i="10"/>
  <c r="O17" i="10"/>
  <c r="Y37" i="10"/>
  <c r="Z205" i="10"/>
  <c r="Z41" i="10"/>
  <c r="Z237" i="10"/>
  <c r="Z227" i="10"/>
  <c r="Z230" i="10"/>
  <c r="Z232" i="10"/>
  <c r="Z221" i="10"/>
  <c r="O220" i="10"/>
  <c r="O224" i="10"/>
  <c r="Y224" i="10"/>
  <c r="Z39" i="10"/>
  <c r="Z46" i="10"/>
  <c r="Z47" i="10"/>
  <c r="Z48" i="10"/>
  <c r="Z51" i="10"/>
  <c r="Z52" i="10"/>
  <c r="Z53" i="10"/>
  <c r="Z54" i="10"/>
  <c r="Z97" i="10"/>
  <c r="O96" i="10"/>
  <c r="O101" i="10"/>
  <c r="Z137" i="10"/>
  <c r="Z138" i="10"/>
  <c r="O137" i="10"/>
  <c r="O141" i="10"/>
  <c r="Z144" i="10"/>
  <c r="Z146" i="10"/>
  <c r="Z147" i="10"/>
  <c r="Z150" i="10"/>
  <c r="O183" i="10"/>
  <c r="O187" i="10"/>
  <c r="Y187" i="10"/>
  <c r="Z200" i="10"/>
  <c r="O200" i="10"/>
  <c r="O201" i="10"/>
  <c r="Z201" i="10"/>
  <c r="Z202" i="10"/>
  <c r="Z119" i="10"/>
  <c r="O225" i="10"/>
  <c r="Z225" i="10"/>
  <c r="O43" i="10"/>
  <c r="O142" i="10"/>
  <c r="O188" i="10"/>
  <c r="X188" i="10"/>
  <c r="O204" i="10"/>
  <c r="Z196" i="10"/>
  <c r="Z11" i="10"/>
  <c r="Z16" i="10"/>
  <c r="Z124" i="10"/>
  <c r="Z122" i="10"/>
  <c r="Z228" i="10"/>
  <c r="Z157" i="10"/>
  <c r="Z145" i="10"/>
  <c r="O125" i="10"/>
  <c r="Z125" i="10"/>
  <c r="Z49" i="10"/>
  <c r="Z104" i="10"/>
  <c r="Z170" i="10"/>
  <c r="Z171" i="10"/>
  <c r="O185" i="10"/>
  <c r="AA116" i="10"/>
  <c r="AA108" i="10"/>
  <c r="AA86" i="10"/>
  <c r="AA82" i="10"/>
  <c r="AA75" i="10"/>
  <c r="AA71" i="10"/>
  <c r="AA62" i="10"/>
  <c r="AA30" i="10"/>
  <c r="AA24" i="10"/>
  <c r="AA20" i="10"/>
  <c r="O45" i="10"/>
  <c r="O56" i="10"/>
  <c r="O104" i="10"/>
  <c r="Y104" i="10"/>
  <c r="O152" i="10"/>
  <c r="O159" i="10"/>
  <c r="O233" i="10"/>
  <c r="O120" i="10"/>
  <c r="O130" i="10"/>
  <c r="Y130" i="10"/>
  <c r="O169" i="10"/>
  <c r="O170" i="10"/>
  <c r="X170" i="10"/>
  <c r="Y231" i="10"/>
  <c r="Y227" i="10"/>
  <c r="Y219" i="10"/>
  <c r="Y202" i="10"/>
  <c r="Y182" i="10"/>
  <c r="Y150" i="10"/>
  <c r="Y147" i="10"/>
  <c r="Y125" i="10"/>
  <c r="Y120" i="10"/>
  <c r="Y101" i="10"/>
  <c r="Y54" i="10"/>
  <c r="Y51" i="10"/>
  <c r="Y46" i="10"/>
  <c r="Y39" i="10"/>
  <c r="Y16" i="10"/>
  <c r="Y11" i="10"/>
  <c r="I196" i="10"/>
  <c r="J196" i="10"/>
  <c r="K196" i="10"/>
  <c r="L196" i="10"/>
  <c r="M220" i="10"/>
  <c r="M226" i="10"/>
  <c r="I7" i="10"/>
  <c r="I10" i="10"/>
  <c r="J7" i="10"/>
  <c r="O109" i="10"/>
  <c r="O111" i="10"/>
  <c r="O115" i="10"/>
  <c r="P182" i="10"/>
  <c r="Q182" i="10"/>
  <c r="P183" i="10"/>
  <c r="P185" i="10"/>
  <c r="X182" i="10"/>
  <c r="X183" i="10"/>
  <c r="P142" i="10"/>
  <c r="Q142" i="10"/>
  <c r="R142" i="10"/>
  <c r="S142" i="10"/>
  <c r="T142" i="10"/>
  <c r="U142" i="10"/>
  <c r="V142" i="10"/>
  <c r="W142" i="10"/>
  <c r="X142" i="10"/>
  <c r="P133" i="10"/>
  <c r="Q133" i="10"/>
  <c r="R133" i="10"/>
  <c r="S133" i="10"/>
  <c r="T133" i="10"/>
  <c r="U133" i="10"/>
  <c r="V133" i="10"/>
  <c r="W133" i="10"/>
  <c r="P136" i="10"/>
  <c r="Q136" i="10"/>
  <c r="R136" i="10"/>
  <c r="S136" i="10"/>
  <c r="T136" i="10"/>
  <c r="U136" i="10"/>
  <c r="V136" i="10"/>
  <c r="W136" i="10"/>
  <c r="X133" i="10"/>
  <c r="X136" i="10"/>
  <c r="R159" i="10"/>
  <c r="T159" i="10"/>
  <c r="U159" i="10"/>
  <c r="X237" i="10"/>
  <c r="X232" i="10"/>
  <c r="X231" i="10"/>
  <c r="X230" i="10"/>
  <c r="X229" i="10"/>
  <c r="X228" i="10"/>
  <c r="X227" i="10"/>
  <c r="X223" i="10"/>
  <c r="X186" i="10"/>
  <c r="X157" i="10"/>
  <c r="X156" i="10"/>
  <c r="X151" i="10"/>
  <c r="X150" i="10"/>
  <c r="X149" i="10"/>
  <c r="X148" i="10"/>
  <c r="X147" i="10"/>
  <c r="X146" i="10"/>
  <c r="X145" i="10"/>
  <c r="X144" i="10"/>
  <c r="X140" i="10"/>
  <c r="X135" i="10"/>
  <c r="X134" i="10"/>
  <c r="X128" i="10"/>
  <c r="X126" i="10"/>
  <c r="X124" i="10"/>
  <c r="X123" i="10"/>
  <c r="X122" i="10"/>
  <c r="X121" i="10"/>
  <c r="X119" i="10"/>
  <c r="X99" i="10"/>
  <c r="X55" i="10"/>
  <c r="X54" i="10"/>
  <c r="X53" i="10"/>
  <c r="X52" i="10"/>
  <c r="X51" i="10"/>
  <c r="X50" i="10"/>
  <c r="X49" i="10"/>
  <c r="X47" i="10"/>
  <c r="X46" i="10"/>
  <c r="X35" i="10"/>
  <c r="X16" i="10"/>
  <c r="X15" i="10"/>
  <c r="X14" i="10"/>
  <c r="X13" i="10"/>
  <c r="X12" i="10"/>
  <c r="X11" i="10"/>
  <c r="X10" i="10"/>
  <c r="X120" i="10"/>
  <c r="X45" i="10"/>
  <c r="S45" i="10"/>
  <c r="S120" i="10"/>
  <c r="S130" i="10"/>
  <c r="S170" i="10"/>
  <c r="P170" i="10"/>
  <c r="P169" i="10"/>
  <c r="P171" i="10"/>
  <c r="P172" i="10"/>
  <c r="S169" i="10"/>
  <c r="P120" i="10"/>
  <c r="P130" i="10"/>
  <c r="P13" i="10"/>
  <c r="P156" i="10"/>
  <c r="S156" i="10"/>
  <c r="S159" i="10"/>
  <c r="V156" i="10"/>
  <c r="Q169" i="10"/>
  <c r="R169" i="10"/>
  <c r="U169" i="10"/>
  <c r="U170" i="10"/>
  <c r="U171" i="10"/>
  <c r="U172" i="10"/>
  <c r="W169" i="10"/>
  <c r="W120" i="10"/>
  <c r="W130" i="10"/>
  <c r="U120" i="10"/>
  <c r="U130" i="10"/>
  <c r="Q120" i="10"/>
  <c r="Q130" i="10"/>
  <c r="R120" i="10"/>
  <c r="R130" i="10"/>
  <c r="W45" i="10"/>
  <c r="U45" i="10"/>
  <c r="R45" i="10"/>
  <c r="Q45" i="10"/>
  <c r="P45" i="10"/>
  <c r="X95" i="10"/>
  <c r="X96" i="10"/>
  <c r="V7" i="10"/>
  <c r="T7" i="10"/>
  <c r="W239" i="10"/>
  <c r="V239" i="10"/>
  <c r="U239" i="10"/>
  <c r="T239" i="10"/>
  <c r="S239" i="10"/>
  <c r="R239" i="10"/>
  <c r="W225" i="10"/>
  <c r="V225" i="10"/>
  <c r="U225" i="10"/>
  <c r="T225" i="10"/>
  <c r="S225" i="10"/>
  <c r="R225" i="10"/>
  <c r="W188" i="10"/>
  <c r="V188" i="10"/>
  <c r="U188" i="10"/>
  <c r="T188" i="10"/>
  <c r="S188" i="10"/>
  <c r="R188" i="10"/>
  <c r="W152" i="10"/>
  <c r="V152" i="10"/>
  <c r="U152" i="10"/>
  <c r="T152" i="10"/>
  <c r="S152" i="10"/>
  <c r="R152" i="10"/>
  <c r="W101" i="10"/>
  <c r="V101" i="10"/>
  <c r="U101" i="10"/>
  <c r="T101" i="10"/>
  <c r="S101" i="10"/>
  <c r="R101" i="10"/>
  <c r="W43" i="10"/>
  <c r="V43" i="10"/>
  <c r="U43" i="10"/>
  <c r="T43" i="10"/>
  <c r="S43" i="10"/>
  <c r="R43" i="10"/>
  <c r="AC43" i="10"/>
  <c r="AC44" i="10"/>
  <c r="H169" i="10"/>
  <c r="H45" i="10"/>
  <c r="R170" i="10"/>
  <c r="R171" i="10"/>
  <c r="R172" i="10"/>
  <c r="T10" i="10"/>
  <c r="T170" i="10"/>
  <c r="V10" i="10"/>
  <c r="V170" i="10"/>
  <c r="R230" i="10"/>
  <c r="P47" i="10"/>
  <c r="Q47" i="10"/>
  <c r="Q56" i="10"/>
  <c r="W170" i="10"/>
  <c r="P16" i="10"/>
  <c r="R16" i="10"/>
  <c r="T16" i="10"/>
  <c r="U16" i="10"/>
  <c r="V16" i="10"/>
  <c r="W16" i="10"/>
  <c r="X225" i="10"/>
  <c r="P225" i="10"/>
  <c r="Q225" i="10"/>
  <c r="P223" i="10"/>
  <c r="Q223" i="10"/>
  <c r="R223" i="10"/>
  <c r="S223" i="10"/>
  <c r="T223" i="10"/>
  <c r="U223" i="10"/>
  <c r="V223" i="10"/>
  <c r="W223" i="10"/>
  <c r="Q188" i="10"/>
  <c r="P188" i="10"/>
  <c r="P186" i="10"/>
  <c r="Q186" i="10"/>
  <c r="R186" i="10"/>
  <c r="S186" i="10"/>
  <c r="T186" i="10"/>
  <c r="U186" i="10"/>
  <c r="V186" i="10"/>
  <c r="W186" i="10"/>
  <c r="X219" i="10"/>
  <c r="Q239" i="10"/>
  <c r="P239" i="10"/>
  <c r="Q233" i="10"/>
  <c r="P233" i="10"/>
  <c r="G227" i="10"/>
  <c r="G233" i="10"/>
  <c r="G225" i="10"/>
  <c r="G223" i="10"/>
  <c r="G188" i="10"/>
  <c r="G183" i="10"/>
  <c r="G185" i="10"/>
  <c r="Q170" i="10"/>
  <c r="G170" i="10"/>
  <c r="G169" i="10"/>
  <c r="P158" i="10"/>
  <c r="P159" i="10"/>
  <c r="G159" i="10"/>
  <c r="Q152" i="10"/>
  <c r="P152" i="10"/>
  <c r="G152" i="10"/>
  <c r="G142" i="10"/>
  <c r="G120" i="10"/>
  <c r="G130" i="10"/>
  <c r="Q101" i="10"/>
  <c r="P101" i="10"/>
  <c r="G101" i="10"/>
  <c r="G56" i="10"/>
  <c r="Q43" i="10"/>
  <c r="AB43" i="10"/>
  <c r="AB44" i="10"/>
  <c r="P43" i="10"/>
  <c r="AA43" i="10"/>
  <c r="G43" i="10"/>
  <c r="G17" i="10"/>
  <c r="G187" i="10"/>
  <c r="H120" i="10"/>
  <c r="H37" i="10"/>
  <c r="H38" i="10"/>
  <c r="O162" i="10"/>
  <c r="O163" i="10"/>
  <c r="O164" i="10"/>
  <c r="X127" i="10"/>
  <c r="G239" i="10"/>
  <c r="G96" i="10"/>
  <c r="G98" i="10"/>
  <c r="G220" i="10"/>
  <c r="G224" i="10"/>
  <c r="N170" i="10"/>
  <c r="N169" i="10"/>
  <c r="N120" i="10"/>
  <c r="N130" i="10"/>
  <c r="N137" i="10"/>
  <c r="N239" i="10"/>
  <c r="N233" i="10"/>
  <c r="I226" i="10"/>
  <c r="J226" i="10"/>
  <c r="K226" i="10"/>
  <c r="L226" i="10"/>
  <c r="N226" i="10"/>
  <c r="I220" i="10"/>
  <c r="J220" i="10"/>
  <c r="K220" i="10"/>
  <c r="L220" i="10"/>
  <c r="N220" i="10"/>
  <c r="I189" i="10"/>
  <c r="I183" i="10"/>
  <c r="I191" i="10"/>
  <c r="J189" i="10"/>
  <c r="K189" i="10"/>
  <c r="L189" i="10"/>
  <c r="M189" i="10"/>
  <c r="N189" i="10"/>
  <c r="N159" i="10"/>
  <c r="N152" i="10"/>
  <c r="N143" i="10"/>
  <c r="I102" i="10"/>
  <c r="J102" i="10"/>
  <c r="K102" i="10"/>
  <c r="L102" i="10"/>
  <c r="M102" i="10"/>
  <c r="N102" i="10"/>
  <c r="J95" i="10"/>
  <c r="J96" i="10"/>
  <c r="J105" i="10"/>
  <c r="K95" i="10"/>
  <c r="K96" i="10"/>
  <c r="L95" i="10"/>
  <c r="L96" i="10"/>
  <c r="M95" i="10"/>
  <c r="M96" i="10"/>
  <c r="N95" i="10"/>
  <c r="N96" i="10"/>
  <c r="N105" i="10"/>
  <c r="N56" i="10"/>
  <c r="J36" i="10"/>
  <c r="K36" i="10"/>
  <c r="L36" i="10"/>
  <c r="M36" i="10"/>
  <c r="N36" i="10"/>
  <c r="N38" i="10"/>
  <c r="N42" i="10"/>
  <c r="N44" i="10"/>
  <c r="N57" i="10"/>
  <c r="J37" i="10"/>
  <c r="K37" i="10"/>
  <c r="L37" i="10"/>
  <c r="M37" i="10"/>
  <c r="N37" i="10"/>
  <c r="N17" i="10"/>
  <c r="J183" i="10"/>
  <c r="K183" i="10"/>
  <c r="K191" i="10"/>
  <c r="L183" i="10"/>
  <c r="L191" i="10"/>
  <c r="M183" i="10"/>
  <c r="M191" i="10"/>
  <c r="N183" i="10"/>
  <c r="H225" i="10"/>
  <c r="H188" i="10"/>
  <c r="H142" i="10"/>
  <c r="H101" i="10"/>
  <c r="H183" i="10"/>
  <c r="H187" i="10"/>
  <c r="N22" i="10"/>
  <c r="N26" i="10"/>
  <c r="H185" i="10"/>
  <c r="N30" i="10"/>
  <c r="H34" i="25"/>
  <c r="L150" i="10"/>
  <c r="K150" i="10"/>
  <c r="J150" i="10"/>
  <c r="I124" i="10"/>
  <c r="J124" i="10"/>
  <c r="K124" i="10"/>
  <c r="I232" i="10"/>
  <c r="J232" i="10"/>
  <c r="K232" i="10"/>
  <c r="L232" i="10"/>
  <c r="H75" i="10"/>
  <c r="I75" i="10"/>
  <c r="J75" i="10"/>
  <c r="K75" i="10"/>
  <c r="L75" i="10"/>
  <c r="H134" i="10"/>
  <c r="H137" i="10"/>
  <c r="H141" i="10"/>
  <c r="M141" i="10"/>
  <c r="I149" i="10"/>
  <c r="I129" i="10"/>
  <c r="H129" i="10"/>
  <c r="B12" i="8"/>
  <c r="I134" i="10"/>
  <c r="J134" i="10"/>
  <c r="K134" i="10"/>
  <c r="L134" i="10"/>
  <c r="K135" i="10"/>
  <c r="L135" i="10"/>
  <c r="I46" i="10"/>
  <c r="J46" i="10"/>
  <c r="K46" i="10"/>
  <c r="L46" i="10"/>
  <c r="I125" i="10"/>
  <c r="J125" i="10"/>
  <c r="K125" i="10"/>
  <c r="L125" i="10"/>
  <c r="I144" i="10"/>
  <c r="J144" i="10"/>
  <c r="K144" i="10"/>
  <c r="L144" i="10"/>
  <c r="I228" i="10"/>
  <c r="J228" i="10"/>
  <c r="K228" i="10"/>
  <c r="I122" i="10"/>
  <c r="I237" i="10"/>
  <c r="J237" i="10"/>
  <c r="I145" i="10"/>
  <c r="J145" i="10"/>
  <c r="K145" i="10"/>
  <c r="L145" i="10"/>
  <c r="M145" i="10"/>
  <c r="H238" i="10"/>
  <c r="I89" i="10"/>
  <c r="J89" i="10"/>
  <c r="I92" i="10"/>
  <c r="J92" i="10"/>
  <c r="K92" i="10"/>
  <c r="J129" i="10"/>
  <c r="K129" i="10"/>
  <c r="L129" i="10"/>
  <c r="I95" i="10"/>
  <c r="I96" i="10"/>
  <c r="I37" i="10"/>
  <c r="I36" i="10"/>
  <c r="C9" i="8"/>
  <c r="D9" i="8"/>
  <c r="E9" i="8"/>
  <c r="F9" i="8"/>
  <c r="B31" i="8"/>
  <c r="F35" i="25"/>
  <c r="M12" i="10"/>
  <c r="M119" i="10"/>
  <c r="M121" i="10"/>
  <c r="M123" i="10"/>
  <c r="M126" i="10"/>
  <c r="M151" i="10"/>
  <c r="F84" i="16"/>
  <c r="F116" i="16"/>
  <c r="F22" i="16"/>
  <c r="F23" i="16"/>
  <c r="B8" i="8"/>
  <c r="F24" i="16"/>
  <c r="F25" i="16"/>
  <c r="F89" i="16"/>
  <c r="F91" i="16"/>
  <c r="F92" i="16"/>
  <c r="F93" i="16"/>
  <c r="C5" i="8"/>
  <c r="D5" i="8"/>
  <c r="E5" i="8"/>
  <c r="F5" i="8"/>
  <c r="K14" i="25"/>
  <c r="K18" i="25"/>
  <c r="B39" i="8"/>
  <c r="B46" i="8"/>
  <c r="F92" i="25"/>
  <c r="G92" i="25"/>
  <c r="N97" i="25"/>
  <c r="K93" i="25"/>
  <c r="N93" i="25"/>
  <c r="O93" i="25"/>
  <c r="K90" i="25"/>
  <c r="O10" i="25"/>
  <c r="L18" i="25"/>
  <c r="L40" i="25"/>
  <c r="L30" i="25"/>
  <c r="L25" i="25"/>
  <c r="L94" i="25"/>
  <c r="L99" i="25"/>
  <c r="L107" i="25"/>
  <c r="L46" i="25"/>
  <c r="L51" i="25"/>
  <c r="L53" i="25"/>
  <c r="L59" i="25"/>
  <c r="L64" i="25"/>
  <c r="L68" i="25"/>
  <c r="G72" i="25"/>
  <c r="H72" i="25"/>
  <c r="I72" i="25"/>
  <c r="J72" i="25"/>
  <c r="K72" i="25"/>
  <c r="L72" i="25"/>
  <c r="G75" i="25"/>
  <c r="H75" i="25"/>
  <c r="I75" i="25"/>
  <c r="J75" i="25"/>
  <c r="K75" i="25"/>
  <c r="L75" i="25"/>
  <c r="M75" i="25"/>
  <c r="N75" i="25"/>
  <c r="O75" i="25"/>
  <c r="L87" i="25"/>
  <c r="L114" i="25"/>
  <c r="L123" i="25"/>
  <c r="L128" i="25"/>
  <c r="L130" i="25"/>
  <c r="L138" i="25"/>
  <c r="L143" i="25"/>
  <c r="L150" i="25"/>
  <c r="L156" i="25"/>
  <c r="L134" i="25"/>
  <c r="M18" i="25"/>
  <c r="M30" i="25"/>
  <c r="M25" i="25"/>
  <c r="M46" i="25"/>
  <c r="M51" i="25"/>
  <c r="M53" i="25"/>
  <c r="M54" i="25"/>
  <c r="M59" i="25"/>
  <c r="M64" i="25"/>
  <c r="M68" i="25"/>
  <c r="M87" i="25"/>
  <c r="M114" i="25"/>
  <c r="M123" i="25"/>
  <c r="M128" i="25"/>
  <c r="M130" i="25"/>
  <c r="M131" i="25"/>
  <c r="M138" i="25"/>
  <c r="M143" i="25"/>
  <c r="M150" i="25"/>
  <c r="M156" i="25"/>
  <c r="M134" i="25"/>
  <c r="N104" i="25"/>
  <c r="O104" i="25"/>
  <c r="M103" i="25"/>
  <c r="N36" i="25"/>
  <c r="O144" i="25"/>
  <c r="O145" i="25"/>
  <c r="O146" i="25"/>
  <c r="O147" i="25"/>
  <c r="O148" i="25"/>
  <c r="O149" i="25"/>
  <c r="O137" i="25"/>
  <c r="O138" i="25"/>
  <c r="O139" i="25"/>
  <c r="O140" i="25"/>
  <c r="O141" i="25"/>
  <c r="O142" i="25"/>
  <c r="O134" i="25"/>
  <c r="O129" i="25"/>
  <c r="O130" i="25"/>
  <c r="O122" i="25"/>
  <c r="O123" i="25"/>
  <c r="O124" i="25"/>
  <c r="O125" i="25"/>
  <c r="O126" i="25"/>
  <c r="O127" i="25"/>
  <c r="O111" i="25"/>
  <c r="O112" i="25"/>
  <c r="O113" i="25"/>
  <c r="O100" i="25"/>
  <c r="O101" i="25"/>
  <c r="O102" i="25"/>
  <c r="O105" i="25"/>
  <c r="O106" i="25"/>
  <c r="N87" i="25"/>
  <c r="O80" i="25"/>
  <c r="O78" i="25"/>
  <c r="O79" i="25"/>
  <c r="O81" i="25"/>
  <c r="O82" i="25"/>
  <c r="O83" i="25"/>
  <c r="O84" i="25"/>
  <c r="O85" i="25"/>
  <c r="O86" i="25"/>
  <c r="O65" i="25"/>
  <c r="O66" i="25"/>
  <c r="O67" i="25"/>
  <c r="O57" i="25"/>
  <c r="O58" i="25"/>
  <c r="O59" i="25"/>
  <c r="O60" i="25"/>
  <c r="O61" i="25"/>
  <c r="O62" i="25"/>
  <c r="O63" i="25"/>
  <c r="O52" i="25"/>
  <c r="O53" i="25"/>
  <c r="O44" i="25"/>
  <c r="O45" i="25"/>
  <c r="O47" i="25"/>
  <c r="O48" i="25"/>
  <c r="O49" i="25"/>
  <c r="O50" i="25"/>
  <c r="O31" i="25"/>
  <c r="O32" i="25"/>
  <c r="O33" i="25"/>
  <c r="O37" i="25"/>
  <c r="O38" i="25"/>
  <c r="O39" i="25"/>
  <c r="O26" i="25"/>
  <c r="O27" i="25"/>
  <c r="O28" i="25"/>
  <c r="O29" i="25"/>
  <c r="O22" i="25"/>
  <c r="O23" i="25"/>
  <c r="O24" i="25"/>
  <c r="O25" i="25"/>
  <c r="N30" i="25"/>
  <c r="O155" i="25"/>
  <c r="O154" i="25"/>
  <c r="O153" i="25"/>
  <c r="N138" i="25"/>
  <c r="N143" i="25"/>
  <c r="N150" i="25"/>
  <c r="N151" i="25"/>
  <c r="O136" i="25"/>
  <c r="N134" i="25"/>
  <c r="O133" i="25"/>
  <c r="N123" i="25"/>
  <c r="N128" i="25"/>
  <c r="N130" i="25"/>
  <c r="O121" i="25"/>
  <c r="O120" i="25"/>
  <c r="O119" i="25"/>
  <c r="O118" i="25"/>
  <c r="O117" i="25"/>
  <c r="O116" i="25"/>
  <c r="O115" i="25"/>
  <c r="N114" i="25"/>
  <c r="O110" i="25"/>
  <c r="O92" i="25"/>
  <c r="O91" i="25"/>
  <c r="O89" i="25"/>
  <c r="O77" i="25"/>
  <c r="O74" i="25"/>
  <c r="O71" i="25"/>
  <c r="N59" i="25"/>
  <c r="N64" i="25"/>
  <c r="N68" i="25"/>
  <c r="O56" i="25"/>
  <c r="N46" i="25"/>
  <c r="N51" i="25"/>
  <c r="N53" i="25"/>
  <c r="O43" i="25"/>
  <c r="N25" i="25"/>
  <c r="O34" i="25"/>
  <c r="O13" i="25"/>
  <c r="O15" i="25"/>
  <c r="O16" i="25"/>
  <c r="O17" i="25"/>
  <c r="K156" i="25"/>
  <c r="N156" i="25"/>
  <c r="K30" i="25"/>
  <c r="K25" i="25"/>
  <c r="K46" i="25"/>
  <c r="K51" i="25"/>
  <c r="K53" i="25"/>
  <c r="K59" i="25"/>
  <c r="K64" i="25"/>
  <c r="K68" i="25"/>
  <c r="K87" i="25"/>
  <c r="K107" i="25"/>
  <c r="K114" i="25"/>
  <c r="K123" i="25"/>
  <c r="K128" i="25"/>
  <c r="K130" i="25"/>
  <c r="K131" i="25"/>
  <c r="K134" i="25"/>
  <c r="K138" i="25"/>
  <c r="K143" i="25"/>
  <c r="K150" i="25"/>
  <c r="F7" i="25"/>
  <c r="F16" i="25"/>
  <c r="F33" i="25"/>
  <c r="F34" i="25"/>
  <c r="F23" i="25"/>
  <c r="G23" i="25"/>
  <c r="H23" i="25"/>
  <c r="I23" i="25"/>
  <c r="J23" i="25"/>
  <c r="F44" i="25"/>
  <c r="F46" i="25"/>
  <c r="F57" i="25"/>
  <c r="F59" i="25"/>
  <c r="F62" i="25"/>
  <c r="F86" i="25"/>
  <c r="F90" i="25"/>
  <c r="F93" i="25"/>
  <c r="F101" i="25"/>
  <c r="G101" i="25"/>
  <c r="F104" i="25"/>
  <c r="F126" i="25"/>
  <c r="F122" i="25"/>
  <c r="F141" i="25"/>
  <c r="F137" i="25"/>
  <c r="F138" i="25"/>
  <c r="F140" i="25"/>
  <c r="F146" i="25"/>
  <c r="G146" i="25"/>
  <c r="H146" i="25"/>
  <c r="I146" i="25"/>
  <c r="J146" i="25"/>
  <c r="F147" i="25"/>
  <c r="F148" i="25"/>
  <c r="F134" i="25"/>
  <c r="F154" i="25"/>
  <c r="G14" i="25"/>
  <c r="G86" i="25"/>
  <c r="G32" i="25"/>
  <c r="H32" i="25"/>
  <c r="I32" i="25"/>
  <c r="J32" i="25"/>
  <c r="G34" i="25"/>
  <c r="G38" i="25"/>
  <c r="H38" i="25"/>
  <c r="I38" i="25"/>
  <c r="J38" i="25"/>
  <c r="G44" i="25"/>
  <c r="G45" i="25"/>
  <c r="G57" i="25"/>
  <c r="G58" i="25"/>
  <c r="H58" i="25"/>
  <c r="I58" i="25"/>
  <c r="G81" i="25"/>
  <c r="H81" i="25"/>
  <c r="I81" i="25"/>
  <c r="J81" i="25"/>
  <c r="G83" i="25"/>
  <c r="H83" i="25"/>
  <c r="I83" i="25"/>
  <c r="J83" i="25"/>
  <c r="G84" i="25"/>
  <c r="H84" i="25"/>
  <c r="I84" i="25"/>
  <c r="J84" i="25"/>
  <c r="G100" i="25"/>
  <c r="G102" i="25"/>
  <c r="G104" i="25"/>
  <c r="H104" i="25"/>
  <c r="I104" i="25"/>
  <c r="J104" i="25"/>
  <c r="G105" i="25"/>
  <c r="H105" i="25"/>
  <c r="I105" i="25"/>
  <c r="J105" i="25"/>
  <c r="G106" i="25"/>
  <c r="H106" i="25"/>
  <c r="I106" i="25"/>
  <c r="J106" i="25"/>
  <c r="G91" i="25"/>
  <c r="H91" i="25"/>
  <c r="I91" i="25"/>
  <c r="J91" i="25"/>
  <c r="G93" i="25"/>
  <c r="H93" i="25"/>
  <c r="I93" i="25"/>
  <c r="J93" i="25"/>
  <c r="G97" i="25"/>
  <c r="G144" i="25"/>
  <c r="G145" i="25"/>
  <c r="H145" i="25"/>
  <c r="I145" i="25"/>
  <c r="J145" i="25"/>
  <c r="G149" i="25"/>
  <c r="H149" i="25"/>
  <c r="I149" i="25"/>
  <c r="J149" i="25"/>
  <c r="G155" i="25"/>
  <c r="H155" i="25"/>
  <c r="I155" i="25"/>
  <c r="J155" i="25"/>
  <c r="H44" i="25"/>
  <c r="H57" i="25"/>
  <c r="H59" i="25"/>
  <c r="H86" i="25"/>
  <c r="H100" i="25"/>
  <c r="I100" i="25"/>
  <c r="H102" i="25"/>
  <c r="I102" i="25"/>
  <c r="J102" i="25"/>
  <c r="H103" i="25"/>
  <c r="I103" i="25"/>
  <c r="J103" i="25"/>
  <c r="I44" i="25"/>
  <c r="I57" i="25"/>
  <c r="I86" i="25"/>
  <c r="J44" i="25"/>
  <c r="J57" i="25"/>
  <c r="J86" i="25"/>
  <c r="E97" i="25"/>
  <c r="F7" i="17"/>
  <c r="G45" i="17"/>
  <c r="H45" i="17"/>
  <c r="G58" i="17"/>
  <c r="H58" i="17"/>
  <c r="G72" i="17"/>
  <c r="H72" i="17"/>
  <c r="I72" i="17"/>
  <c r="J72" i="17"/>
  <c r="G75" i="17"/>
  <c r="H75" i="17"/>
  <c r="I75" i="17"/>
  <c r="J75" i="17"/>
  <c r="H133" i="16"/>
  <c r="I133" i="16"/>
  <c r="H75" i="16"/>
  <c r="G116" i="15"/>
  <c r="G143" i="24"/>
  <c r="G145" i="24"/>
  <c r="H145" i="24"/>
  <c r="I145" i="24"/>
  <c r="J145" i="24"/>
  <c r="K145" i="24"/>
  <c r="L145" i="24"/>
  <c r="M145" i="24"/>
  <c r="N145" i="24"/>
  <c r="O145" i="24"/>
  <c r="P145" i="24"/>
  <c r="Q145" i="24"/>
  <c r="R145" i="24"/>
  <c r="G146" i="24"/>
  <c r="G147" i="24"/>
  <c r="H147" i="24"/>
  <c r="G148" i="24"/>
  <c r="H148" i="24"/>
  <c r="I148" i="24"/>
  <c r="G144" i="24"/>
  <c r="G143" i="23"/>
  <c r="H143" i="23"/>
  <c r="G145" i="23"/>
  <c r="H145" i="23"/>
  <c r="I145" i="23"/>
  <c r="J145" i="23"/>
  <c r="K145" i="23"/>
  <c r="L145" i="23"/>
  <c r="M145" i="23"/>
  <c r="N145" i="23"/>
  <c r="O145" i="23"/>
  <c r="P145" i="23"/>
  <c r="Q145" i="23"/>
  <c r="R145" i="23"/>
  <c r="G146" i="23"/>
  <c r="H146" i="23"/>
  <c r="I146" i="23"/>
  <c r="J146" i="23"/>
  <c r="K146" i="23"/>
  <c r="G147" i="23"/>
  <c r="H147" i="23"/>
  <c r="I147" i="23"/>
  <c r="J147" i="23"/>
  <c r="K147" i="23"/>
  <c r="L147" i="23"/>
  <c r="G148" i="23"/>
  <c r="H148" i="23"/>
  <c r="I148" i="23"/>
  <c r="J148" i="23"/>
  <c r="K148" i="23"/>
  <c r="L148" i="23"/>
  <c r="M148" i="23"/>
  <c r="N148" i="23"/>
  <c r="O148" i="23"/>
  <c r="G144" i="23"/>
  <c r="G143" i="22"/>
  <c r="H143" i="22"/>
  <c r="G145" i="22"/>
  <c r="G146" i="22"/>
  <c r="H146" i="22"/>
  <c r="I146" i="22"/>
  <c r="J146" i="22"/>
  <c r="K146" i="22"/>
  <c r="G147" i="22"/>
  <c r="H147" i="22"/>
  <c r="I147" i="22"/>
  <c r="J147" i="22"/>
  <c r="K147" i="22"/>
  <c r="L147" i="22"/>
  <c r="M147" i="22"/>
  <c r="N147" i="22"/>
  <c r="O147" i="22"/>
  <c r="P147" i="22"/>
  <c r="Q147" i="22"/>
  <c r="R147" i="22"/>
  <c r="G148" i="22"/>
  <c r="H148" i="22"/>
  <c r="I148" i="22"/>
  <c r="J148" i="22"/>
  <c r="K148" i="22"/>
  <c r="L148" i="22"/>
  <c r="M148" i="22"/>
  <c r="N148" i="22"/>
  <c r="O148" i="22"/>
  <c r="P148" i="22"/>
  <c r="Q148" i="22"/>
  <c r="R148" i="22"/>
  <c r="G144" i="22"/>
  <c r="G143" i="21"/>
  <c r="H143" i="21"/>
  <c r="G144" i="21"/>
  <c r="G145" i="21"/>
  <c r="H145" i="21"/>
  <c r="I145" i="21"/>
  <c r="J145" i="21"/>
  <c r="K145" i="21"/>
  <c r="L145" i="21"/>
  <c r="M145" i="21"/>
  <c r="N145" i="21"/>
  <c r="O145" i="21"/>
  <c r="P145" i="21"/>
  <c r="Q145" i="21"/>
  <c r="R145" i="21"/>
  <c r="G146" i="21"/>
  <c r="H146" i="21"/>
  <c r="G147" i="21"/>
  <c r="H147" i="21"/>
  <c r="I147" i="21"/>
  <c r="J147" i="21"/>
  <c r="K147" i="21"/>
  <c r="L147" i="21"/>
  <c r="M147" i="21"/>
  <c r="N147" i="21"/>
  <c r="O147" i="21"/>
  <c r="P147" i="21"/>
  <c r="Q147" i="21"/>
  <c r="R147" i="21"/>
  <c r="G148" i="21"/>
  <c r="H148" i="21"/>
  <c r="I148" i="21"/>
  <c r="J148" i="21"/>
  <c r="K148" i="21"/>
  <c r="L148" i="21"/>
  <c r="M148" i="21"/>
  <c r="N148" i="21"/>
  <c r="O148" i="21"/>
  <c r="P148" i="21"/>
  <c r="Q148" i="21"/>
  <c r="R148" i="21"/>
  <c r="G143" i="20"/>
  <c r="H143" i="20"/>
  <c r="G145" i="20"/>
  <c r="G146" i="20"/>
  <c r="H146" i="20"/>
  <c r="I146" i="20"/>
  <c r="J146" i="20"/>
  <c r="K146" i="20"/>
  <c r="L146" i="20"/>
  <c r="G147" i="20"/>
  <c r="H147" i="20"/>
  <c r="I147" i="20"/>
  <c r="G148" i="20"/>
  <c r="H148" i="20"/>
  <c r="I148" i="20"/>
  <c r="J148" i="20"/>
  <c r="K148" i="20"/>
  <c r="G144" i="20"/>
  <c r="H148" i="16"/>
  <c r="H149" i="16"/>
  <c r="I143" i="16"/>
  <c r="I144" i="16"/>
  <c r="I145" i="16"/>
  <c r="F7" i="16"/>
  <c r="I146" i="16"/>
  <c r="I147" i="16"/>
  <c r="I148" i="16"/>
  <c r="G148" i="15"/>
  <c r="H148" i="15"/>
  <c r="H143" i="15"/>
  <c r="H144" i="15"/>
  <c r="H145" i="15"/>
  <c r="H146" i="15"/>
  <c r="H147" i="15"/>
  <c r="H149" i="15"/>
  <c r="G149" i="15"/>
  <c r="F7" i="20"/>
  <c r="G14" i="20"/>
  <c r="I16" i="20"/>
  <c r="J16" i="20"/>
  <c r="K16" i="20"/>
  <c r="L16" i="20"/>
  <c r="I17" i="20"/>
  <c r="S15" i="20"/>
  <c r="G13" i="20"/>
  <c r="G79" i="20"/>
  <c r="H79" i="20"/>
  <c r="G84" i="20"/>
  <c r="G78" i="20"/>
  <c r="S78" i="20"/>
  <c r="R80" i="20"/>
  <c r="S80" i="20"/>
  <c r="G81" i="20"/>
  <c r="S81" i="20"/>
  <c r="G82" i="20"/>
  <c r="S82" i="20"/>
  <c r="G83" i="20"/>
  <c r="S83" i="20"/>
  <c r="G110" i="20"/>
  <c r="H110" i="20"/>
  <c r="G111" i="20"/>
  <c r="H111" i="20"/>
  <c r="I111" i="20"/>
  <c r="J111" i="20"/>
  <c r="K111" i="20"/>
  <c r="L111" i="20"/>
  <c r="M111" i="20"/>
  <c r="N111" i="20"/>
  <c r="O111" i="20"/>
  <c r="P111" i="20"/>
  <c r="Q111" i="20"/>
  <c r="R111" i="20"/>
  <c r="G112" i="20"/>
  <c r="H112" i="20"/>
  <c r="I112" i="20"/>
  <c r="J112" i="20"/>
  <c r="K112" i="20"/>
  <c r="L112" i="20"/>
  <c r="M112" i="20"/>
  <c r="N112" i="20"/>
  <c r="O112" i="20"/>
  <c r="P112" i="20"/>
  <c r="Q112" i="20"/>
  <c r="R112" i="20"/>
  <c r="G128" i="20"/>
  <c r="H128" i="20"/>
  <c r="I128" i="20"/>
  <c r="H121" i="20"/>
  <c r="I121" i="20"/>
  <c r="J121" i="20"/>
  <c r="K121" i="20"/>
  <c r="H122" i="20"/>
  <c r="H133" i="20"/>
  <c r="I133" i="20"/>
  <c r="J133" i="20"/>
  <c r="K133" i="20"/>
  <c r="L133" i="20"/>
  <c r="G34" i="20"/>
  <c r="H34" i="20"/>
  <c r="I34" i="20"/>
  <c r="J34" i="20"/>
  <c r="K34" i="20"/>
  <c r="L34" i="20"/>
  <c r="M34" i="20"/>
  <c r="N34" i="20"/>
  <c r="O34" i="20"/>
  <c r="P34" i="20"/>
  <c r="Q34" i="20"/>
  <c r="R34" i="20"/>
  <c r="H31" i="20"/>
  <c r="I31" i="20"/>
  <c r="J31" i="20"/>
  <c r="G33" i="20"/>
  <c r="G35" i="20"/>
  <c r="G36" i="20"/>
  <c r="H36" i="20"/>
  <c r="I36" i="20"/>
  <c r="J36" i="20"/>
  <c r="K36" i="20"/>
  <c r="L36" i="20"/>
  <c r="M36" i="20"/>
  <c r="N36" i="20"/>
  <c r="O36" i="20"/>
  <c r="P36" i="20"/>
  <c r="Q36" i="20"/>
  <c r="R36" i="20"/>
  <c r="G37" i="20"/>
  <c r="H37" i="20"/>
  <c r="I37" i="20"/>
  <c r="J37" i="20"/>
  <c r="K37" i="20"/>
  <c r="L37" i="20"/>
  <c r="M37" i="20"/>
  <c r="N37" i="20"/>
  <c r="O37" i="20"/>
  <c r="H39" i="20"/>
  <c r="I39" i="20"/>
  <c r="J39" i="20"/>
  <c r="K39" i="20"/>
  <c r="L39" i="20"/>
  <c r="M39" i="20"/>
  <c r="N39" i="20"/>
  <c r="O39" i="20"/>
  <c r="G32" i="20"/>
  <c r="R32" i="20"/>
  <c r="L32" i="20"/>
  <c r="S32" i="20"/>
  <c r="G38" i="20"/>
  <c r="H38" i="20"/>
  <c r="G22" i="20"/>
  <c r="H24" i="20"/>
  <c r="H23" i="20"/>
  <c r="I24" i="20"/>
  <c r="I23" i="20"/>
  <c r="J23" i="20"/>
  <c r="K23" i="20"/>
  <c r="L23" i="20"/>
  <c r="M23" i="20"/>
  <c r="N23" i="20"/>
  <c r="G89" i="20"/>
  <c r="G92" i="20"/>
  <c r="H89" i="20"/>
  <c r="I89" i="20"/>
  <c r="H92" i="20"/>
  <c r="I92" i="20"/>
  <c r="S90" i="20"/>
  <c r="G99" i="20"/>
  <c r="G100" i="20"/>
  <c r="G101" i="20"/>
  <c r="H101" i="20"/>
  <c r="G102" i="20"/>
  <c r="H102" i="20"/>
  <c r="I102" i="20"/>
  <c r="J102" i="20"/>
  <c r="K102" i="20"/>
  <c r="L102" i="20"/>
  <c r="M102" i="20"/>
  <c r="N102" i="20"/>
  <c r="O102" i="20"/>
  <c r="P102" i="20"/>
  <c r="Q102" i="20"/>
  <c r="R102" i="20"/>
  <c r="G103" i="20"/>
  <c r="G104" i="20"/>
  <c r="H104" i="20"/>
  <c r="I104" i="20"/>
  <c r="G105" i="20"/>
  <c r="G136" i="20"/>
  <c r="G75" i="20"/>
  <c r="S75" i="20"/>
  <c r="G72" i="20"/>
  <c r="S72" i="20"/>
  <c r="G153" i="20"/>
  <c r="H153" i="20"/>
  <c r="G154" i="20"/>
  <c r="H154" i="20"/>
  <c r="G128" i="21"/>
  <c r="H128" i="21"/>
  <c r="H121" i="21"/>
  <c r="G34" i="21"/>
  <c r="H34" i="21"/>
  <c r="I34" i="21"/>
  <c r="G36" i="21"/>
  <c r="H36" i="21"/>
  <c r="I36" i="21"/>
  <c r="J36" i="21"/>
  <c r="K36" i="21"/>
  <c r="L36" i="21"/>
  <c r="M36" i="21"/>
  <c r="N36" i="21"/>
  <c r="O36" i="21"/>
  <c r="P36" i="21"/>
  <c r="Q36" i="21"/>
  <c r="R36" i="21"/>
  <c r="H31" i="21"/>
  <c r="I31" i="21"/>
  <c r="G32" i="21"/>
  <c r="R32" i="21"/>
  <c r="G33" i="21"/>
  <c r="H33" i="21"/>
  <c r="G38" i="21"/>
  <c r="H38" i="21"/>
  <c r="I38" i="21"/>
  <c r="H39" i="21"/>
  <c r="I39" i="21"/>
  <c r="G22" i="21"/>
  <c r="H22" i="21"/>
  <c r="I22" i="21"/>
  <c r="H23" i="21"/>
  <c r="H24" i="21"/>
  <c r="I24" i="21"/>
  <c r="J24" i="21"/>
  <c r="K24" i="21"/>
  <c r="L24" i="21"/>
  <c r="M24" i="21"/>
  <c r="N24" i="21"/>
  <c r="O24" i="21"/>
  <c r="P24" i="21"/>
  <c r="Q24" i="21"/>
  <c r="G72" i="21"/>
  <c r="S72" i="21"/>
  <c r="G81" i="21"/>
  <c r="S81" i="21"/>
  <c r="G78" i="21"/>
  <c r="H78" i="21"/>
  <c r="G79" i="21"/>
  <c r="H79" i="21"/>
  <c r="I79" i="21"/>
  <c r="J79" i="21"/>
  <c r="K79" i="21"/>
  <c r="L79" i="21"/>
  <c r="R80" i="21"/>
  <c r="S80" i="21"/>
  <c r="G82" i="21"/>
  <c r="H82" i="21"/>
  <c r="I82" i="21"/>
  <c r="J82" i="21"/>
  <c r="K82" i="21"/>
  <c r="L82" i="21"/>
  <c r="M82" i="21"/>
  <c r="N82" i="21"/>
  <c r="O82" i="21"/>
  <c r="P82" i="21"/>
  <c r="Q82" i="21"/>
  <c r="R82" i="21"/>
  <c r="G83" i="21"/>
  <c r="S83" i="21"/>
  <c r="G84" i="21"/>
  <c r="H84" i="21"/>
  <c r="G14" i="21"/>
  <c r="G89" i="21"/>
  <c r="G92" i="21"/>
  <c r="S90" i="21"/>
  <c r="G99" i="21"/>
  <c r="H99" i="21"/>
  <c r="G100" i="21"/>
  <c r="H100" i="21"/>
  <c r="G101" i="21"/>
  <c r="H101" i="21"/>
  <c r="I101" i="21"/>
  <c r="J101" i="21"/>
  <c r="K101" i="21"/>
  <c r="G102" i="21"/>
  <c r="H102" i="21"/>
  <c r="I102" i="21"/>
  <c r="G103" i="21"/>
  <c r="H103" i="21"/>
  <c r="G104" i="21"/>
  <c r="H104" i="21"/>
  <c r="I104" i="21"/>
  <c r="J104" i="21"/>
  <c r="K104" i="21"/>
  <c r="L104" i="21"/>
  <c r="M104" i="21"/>
  <c r="N104" i="21"/>
  <c r="O104" i="21"/>
  <c r="P104" i="21"/>
  <c r="Q104" i="21"/>
  <c r="R104" i="21"/>
  <c r="G105" i="21"/>
  <c r="H105" i="21"/>
  <c r="I105" i="21"/>
  <c r="J105" i="21"/>
  <c r="G110" i="21"/>
  <c r="H110" i="21"/>
  <c r="I110" i="21"/>
  <c r="G111" i="21"/>
  <c r="H111" i="21"/>
  <c r="I111" i="21"/>
  <c r="J111" i="21"/>
  <c r="K111" i="21"/>
  <c r="L111" i="21"/>
  <c r="M111" i="21"/>
  <c r="N111" i="21"/>
  <c r="O111" i="21"/>
  <c r="G112" i="21"/>
  <c r="H112" i="21"/>
  <c r="I112" i="21"/>
  <c r="J112" i="21"/>
  <c r="K112" i="21"/>
  <c r="L112" i="21"/>
  <c r="M112" i="21"/>
  <c r="N112" i="21"/>
  <c r="O112" i="21"/>
  <c r="G136" i="21"/>
  <c r="G75" i="21"/>
  <c r="S75" i="21"/>
  <c r="H133" i="21"/>
  <c r="I133" i="21"/>
  <c r="J133" i="21"/>
  <c r="K133" i="21"/>
  <c r="L133" i="21"/>
  <c r="M133" i="21"/>
  <c r="N133" i="21"/>
  <c r="O133" i="21"/>
  <c r="P133" i="21"/>
  <c r="G153" i="21"/>
  <c r="G154" i="21"/>
  <c r="S15" i="21"/>
  <c r="G13" i="21"/>
  <c r="I16" i="21"/>
  <c r="I17" i="21"/>
  <c r="J17" i="21"/>
  <c r="K17" i="21"/>
  <c r="L17" i="21"/>
  <c r="M17" i="21"/>
  <c r="G128" i="22"/>
  <c r="H128" i="22"/>
  <c r="H121" i="22"/>
  <c r="G34" i="22"/>
  <c r="H34" i="22"/>
  <c r="I34" i="22"/>
  <c r="G36" i="22"/>
  <c r="H36" i="22"/>
  <c r="I36" i="22"/>
  <c r="J36" i="22"/>
  <c r="K36" i="22"/>
  <c r="L36" i="22"/>
  <c r="M36" i="22"/>
  <c r="N36" i="22"/>
  <c r="O36" i="22"/>
  <c r="P36" i="22"/>
  <c r="Q36" i="22"/>
  <c r="R36" i="22"/>
  <c r="H31" i="22"/>
  <c r="I31" i="22"/>
  <c r="G32" i="22"/>
  <c r="G33" i="22"/>
  <c r="H33" i="22"/>
  <c r="G38" i="22"/>
  <c r="H38" i="22"/>
  <c r="I38" i="22"/>
  <c r="J38" i="22"/>
  <c r="H39" i="22"/>
  <c r="I39" i="22"/>
  <c r="J39" i="22"/>
  <c r="G22" i="22"/>
  <c r="H23" i="22"/>
  <c r="I23" i="22"/>
  <c r="J23" i="22"/>
  <c r="K23" i="22"/>
  <c r="L23" i="22"/>
  <c r="M23" i="22"/>
  <c r="N23" i="22"/>
  <c r="O23" i="22"/>
  <c r="P23" i="22"/>
  <c r="Q23" i="22"/>
  <c r="H24" i="22"/>
  <c r="I24" i="22"/>
  <c r="J24" i="22"/>
  <c r="K24" i="22"/>
  <c r="L24" i="22"/>
  <c r="M24" i="22"/>
  <c r="N24" i="22"/>
  <c r="G72" i="22"/>
  <c r="S72" i="22"/>
  <c r="G81" i="22"/>
  <c r="S81" i="22"/>
  <c r="G84" i="22"/>
  <c r="H84" i="22"/>
  <c r="S85" i="22"/>
  <c r="G78" i="22"/>
  <c r="G79" i="22"/>
  <c r="H79" i="22"/>
  <c r="R80" i="22"/>
  <c r="S80" i="22"/>
  <c r="G82" i="22"/>
  <c r="G83" i="22"/>
  <c r="S83" i="22"/>
  <c r="G89" i="22"/>
  <c r="H89" i="22"/>
  <c r="I89" i="22"/>
  <c r="G92" i="22"/>
  <c r="S90" i="22"/>
  <c r="G99" i="22"/>
  <c r="G100" i="22"/>
  <c r="H100" i="22"/>
  <c r="I100" i="22"/>
  <c r="G101" i="22"/>
  <c r="H101" i="22"/>
  <c r="G102" i="22"/>
  <c r="G103" i="22"/>
  <c r="H103" i="22"/>
  <c r="G104" i="22"/>
  <c r="H104" i="22"/>
  <c r="G105" i="22"/>
  <c r="H105" i="22"/>
  <c r="I105" i="22"/>
  <c r="G110" i="22"/>
  <c r="H110" i="22"/>
  <c r="G111" i="22"/>
  <c r="H111" i="22"/>
  <c r="G112" i="22"/>
  <c r="H112" i="22"/>
  <c r="I112" i="22"/>
  <c r="J112" i="22"/>
  <c r="K112" i="22"/>
  <c r="G136" i="22"/>
  <c r="H136" i="22"/>
  <c r="I136" i="22"/>
  <c r="I137" i="22"/>
  <c r="G75" i="22"/>
  <c r="S75" i="22"/>
  <c r="H133" i="22"/>
  <c r="I133" i="22"/>
  <c r="J133" i="22"/>
  <c r="K133" i="22"/>
  <c r="G153" i="22"/>
  <c r="G154" i="22"/>
  <c r="H154" i="22"/>
  <c r="I154" i="22"/>
  <c r="G14" i="22"/>
  <c r="H14" i="22"/>
  <c r="I14" i="22"/>
  <c r="J14" i="22"/>
  <c r="K14" i="22"/>
  <c r="S15" i="22"/>
  <c r="G13" i="22"/>
  <c r="H13" i="22"/>
  <c r="I16" i="22"/>
  <c r="J16" i="22"/>
  <c r="I17" i="22"/>
  <c r="J17" i="22"/>
  <c r="G128" i="23"/>
  <c r="H128" i="23"/>
  <c r="I128" i="23"/>
  <c r="H121" i="23"/>
  <c r="I121" i="23"/>
  <c r="G34" i="23"/>
  <c r="H34" i="23"/>
  <c r="G36" i="23"/>
  <c r="H36" i="23"/>
  <c r="I36" i="23"/>
  <c r="J36" i="23"/>
  <c r="K36" i="23"/>
  <c r="L36" i="23"/>
  <c r="M36" i="23"/>
  <c r="N36" i="23"/>
  <c r="O36" i="23"/>
  <c r="P36" i="23"/>
  <c r="G37" i="23"/>
  <c r="H37" i="23"/>
  <c r="I37" i="23"/>
  <c r="J37" i="23"/>
  <c r="K37" i="23"/>
  <c r="L37" i="23"/>
  <c r="M37" i="23"/>
  <c r="H31" i="23"/>
  <c r="I31" i="23"/>
  <c r="J31" i="23"/>
  <c r="K31" i="23"/>
  <c r="L31" i="23"/>
  <c r="M31" i="23"/>
  <c r="N31" i="23"/>
  <c r="O31" i="23"/>
  <c r="G32" i="23"/>
  <c r="L32" i="23"/>
  <c r="R32" i="23"/>
  <c r="G33" i="23"/>
  <c r="H33" i="23"/>
  <c r="G35" i="23"/>
  <c r="H35" i="23"/>
  <c r="G38" i="23"/>
  <c r="H38" i="23"/>
  <c r="H39" i="23"/>
  <c r="G22" i="23"/>
  <c r="H23" i="23"/>
  <c r="I23" i="23"/>
  <c r="J23" i="23"/>
  <c r="H24" i="23"/>
  <c r="G72" i="23"/>
  <c r="S72" i="23"/>
  <c r="G81" i="23"/>
  <c r="S81" i="23"/>
  <c r="G84" i="23"/>
  <c r="H84" i="23"/>
  <c r="S85" i="23"/>
  <c r="G78" i="23"/>
  <c r="H78" i="23"/>
  <c r="G79" i="23"/>
  <c r="R80" i="23"/>
  <c r="S80" i="23"/>
  <c r="G82" i="23"/>
  <c r="G83" i="23"/>
  <c r="S83" i="23"/>
  <c r="G89" i="23"/>
  <c r="G92" i="23"/>
  <c r="H89" i="23"/>
  <c r="S90" i="23"/>
  <c r="G99" i="23"/>
  <c r="H99" i="23"/>
  <c r="G100" i="23"/>
  <c r="H100" i="23"/>
  <c r="I100" i="23"/>
  <c r="J100" i="23"/>
  <c r="K100" i="23"/>
  <c r="L100" i="23"/>
  <c r="M100" i="23"/>
  <c r="G101" i="23"/>
  <c r="H101" i="23"/>
  <c r="I101" i="23"/>
  <c r="G102" i="23"/>
  <c r="H102" i="23"/>
  <c r="I102" i="23"/>
  <c r="J102" i="23"/>
  <c r="K102" i="23"/>
  <c r="G103" i="23"/>
  <c r="H103" i="23"/>
  <c r="I103" i="23"/>
  <c r="J103" i="23"/>
  <c r="K103" i="23"/>
  <c r="L103" i="23"/>
  <c r="M103" i="23"/>
  <c r="N103" i="23"/>
  <c r="O103" i="23"/>
  <c r="G104" i="23"/>
  <c r="H104" i="23"/>
  <c r="I104" i="23"/>
  <c r="J104" i="23"/>
  <c r="K104" i="23"/>
  <c r="L104" i="23"/>
  <c r="M104" i="23"/>
  <c r="N104" i="23"/>
  <c r="O104" i="23"/>
  <c r="P104" i="23"/>
  <c r="Q104" i="23"/>
  <c r="R104" i="23"/>
  <c r="G105" i="23"/>
  <c r="H105" i="23"/>
  <c r="G110" i="23"/>
  <c r="H110" i="23"/>
  <c r="I110" i="23"/>
  <c r="J110" i="23"/>
  <c r="K110" i="23"/>
  <c r="L110" i="23"/>
  <c r="M110" i="23"/>
  <c r="N110" i="23"/>
  <c r="O110" i="23"/>
  <c r="P110" i="23"/>
  <c r="Q110" i="23"/>
  <c r="G111" i="23"/>
  <c r="G112" i="23"/>
  <c r="H112" i="23"/>
  <c r="I112" i="23"/>
  <c r="J112" i="23"/>
  <c r="K112" i="23"/>
  <c r="L112" i="23"/>
  <c r="G136" i="23"/>
  <c r="G137" i="23"/>
  <c r="G140" i="23"/>
  <c r="H136" i="23"/>
  <c r="I136" i="23"/>
  <c r="G44" i="23"/>
  <c r="G46" i="23"/>
  <c r="H44" i="23"/>
  <c r="I44" i="23"/>
  <c r="G52" i="23"/>
  <c r="G57" i="23"/>
  <c r="G65" i="23"/>
  <c r="G66" i="23"/>
  <c r="H66" i="23"/>
  <c r="I66" i="23"/>
  <c r="G67" i="23"/>
  <c r="H67" i="23"/>
  <c r="I67" i="23"/>
  <c r="J67" i="23"/>
  <c r="G75" i="23"/>
  <c r="S75" i="23"/>
  <c r="H133" i="23"/>
  <c r="I133" i="23"/>
  <c r="G153" i="23"/>
  <c r="G154" i="23"/>
  <c r="H154" i="23"/>
  <c r="I154" i="23"/>
  <c r="J154" i="23"/>
  <c r="K154" i="23"/>
  <c r="L154" i="23"/>
  <c r="M154" i="23"/>
  <c r="N154" i="23"/>
  <c r="O154" i="23"/>
  <c r="P154" i="23"/>
  <c r="Q154" i="23"/>
  <c r="R154" i="23"/>
  <c r="G14" i="23"/>
  <c r="H14" i="23"/>
  <c r="I14" i="23"/>
  <c r="J14" i="23"/>
  <c r="K14" i="23"/>
  <c r="L14" i="23"/>
  <c r="M14" i="23"/>
  <c r="N14" i="23"/>
  <c r="O14" i="23"/>
  <c r="G13" i="23"/>
  <c r="H13" i="23"/>
  <c r="I13" i="23"/>
  <c r="G15" i="23"/>
  <c r="H15" i="23"/>
  <c r="I15" i="23"/>
  <c r="I16" i="23"/>
  <c r="I17" i="23"/>
  <c r="F7" i="24"/>
  <c r="G13" i="24"/>
  <c r="G14" i="24"/>
  <c r="H14" i="24"/>
  <c r="I14" i="24"/>
  <c r="J14" i="24"/>
  <c r="K14" i="24"/>
  <c r="L14" i="24"/>
  <c r="G15" i="24"/>
  <c r="G32" i="24"/>
  <c r="G33" i="24"/>
  <c r="H33" i="24"/>
  <c r="I33" i="24"/>
  <c r="J33" i="24"/>
  <c r="G34" i="24"/>
  <c r="H34" i="24"/>
  <c r="G35" i="24"/>
  <c r="G36" i="24"/>
  <c r="H36" i="24"/>
  <c r="I36" i="24"/>
  <c r="J36" i="24"/>
  <c r="K36" i="24"/>
  <c r="L36" i="24"/>
  <c r="M36" i="24"/>
  <c r="N36" i="24"/>
  <c r="O36" i="24"/>
  <c r="P36" i="24"/>
  <c r="Q36" i="24"/>
  <c r="R36" i="24"/>
  <c r="G37" i="24"/>
  <c r="H37" i="24"/>
  <c r="I37" i="24"/>
  <c r="J37" i="24"/>
  <c r="K37" i="24"/>
  <c r="L37" i="24"/>
  <c r="M37" i="24"/>
  <c r="N37" i="24"/>
  <c r="O37" i="24"/>
  <c r="P37" i="24"/>
  <c r="Q37" i="24"/>
  <c r="R37" i="24"/>
  <c r="G38" i="24"/>
  <c r="H38" i="24"/>
  <c r="G22" i="24"/>
  <c r="G25" i="24"/>
  <c r="G44" i="24"/>
  <c r="G46" i="24"/>
  <c r="G52" i="24"/>
  <c r="G53" i="24"/>
  <c r="G57" i="24"/>
  <c r="G59" i="24"/>
  <c r="G60" i="24"/>
  <c r="G65" i="24"/>
  <c r="G66" i="24"/>
  <c r="G67" i="24"/>
  <c r="G72" i="24"/>
  <c r="S72" i="24"/>
  <c r="G75" i="24"/>
  <c r="S75" i="24"/>
  <c r="G78" i="24"/>
  <c r="G79" i="24"/>
  <c r="H79" i="24"/>
  <c r="G81" i="24"/>
  <c r="G82" i="24"/>
  <c r="G83" i="24"/>
  <c r="S83" i="24"/>
  <c r="G84" i="24"/>
  <c r="H84" i="24"/>
  <c r="I84" i="24"/>
  <c r="J84" i="24"/>
  <c r="K84" i="24"/>
  <c r="L84" i="24"/>
  <c r="M84" i="24"/>
  <c r="G99" i="24"/>
  <c r="G100" i="24"/>
  <c r="H100" i="24"/>
  <c r="I100" i="24"/>
  <c r="J100" i="24"/>
  <c r="G101" i="24"/>
  <c r="H101" i="24"/>
  <c r="G102" i="24"/>
  <c r="H102" i="24"/>
  <c r="I102" i="24"/>
  <c r="J102" i="24"/>
  <c r="K102" i="24"/>
  <c r="L102" i="24"/>
  <c r="M102" i="24"/>
  <c r="G103" i="24"/>
  <c r="G104" i="24"/>
  <c r="H104" i="24"/>
  <c r="I104" i="24"/>
  <c r="J104" i="24"/>
  <c r="K104" i="24"/>
  <c r="L104" i="24"/>
  <c r="M104" i="24"/>
  <c r="N104" i="24"/>
  <c r="O104" i="24"/>
  <c r="P104" i="24"/>
  <c r="Q104" i="24"/>
  <c r="R104" i="24"/>
  <c r="G105" i="24"/>
  <c r="H105" i="24"/>
  <c r="I105" i="24"/>
  <c r="J105" i="24"/>
  <c r="G89" i="24"/>
  <c r="G92" i="24"/>
  <c r="G110" i="24"/>
  <c r="G111" i="24"/>
  <c r="H111" i="24"/>
  <c r="I111" i="24"/>
  <c r="J111" i="24"/>
  <c r="K111" i="24"/>
  <c r="G112" i="24"/>
  <c r="H112" i="24"/>
  <c r="I112" i="24"/>
  <c r="J112" i="24"/>
  <c r="K112" i="24"/>
  <c r="L112" i="24"/>
  <c r="M112" i="24"/>
  <c r="N112" i="24"/>
  <c r="G128" i="24"/>
  <c r="G129" i="24"/>
  <c r="G136" i="24"/>
  <c r="G137" i="24"/>
  <c r="G153" i="24"/>
  <c r="H153" i="24"/>
  <c r="G154" i="24"/>
  <c r="H15" i="24"/>
  <c r="I15" i="24"/>
  <c r="J15" i="24"/>
  <c r="K15" i="24"/>
  <c r="L15" i="24"/>
  <c r="M15" i="24"/>
  <c r="N15" i="24"/>
  <c r="O15" i="24"/>
  <c r="P15" i="24"/>
  <c r="Q15" i="24"/>
  <c r="R15" i="24"/>
  <c r="S15" i="24"/>
  <c r="H31" i="24"/>
  <c r="I31" i="24"/>
  <c r="J31" i="24"/>
  <c r="K31" i="24"/>
  <c r="I34" i="24"/>
  <c r="J34" i="24"/>
  <c r="H35" i="24"/>
  <c r="I35" i="24"/>
  <c r="J35" i="24"/>
  <c r="K35" i="24"/>
  <c r="I38" i="24"/>
  <c r="J38" i="24"/>
  <c r="K38" i="24"/>
  <c r="H39" i="24"/>
  <c r="H23" i="24"/>
  <c r="I23" i="24"/>
  <c r="J23" i="24"/>
  <c r="K23" i="24"/>
  <c r="L23" i="24"/>
  <c r="M23" i="24"/>
  <c r="N23" i="24"/>
  <c r="O23" i="24"/>
  <c r="P23" i="24"/>
  <c r="Q23" i="24"/>
  <c r="H24" i="24"/>
  <c r="I24" i="24"/>
  <c r="J24" i="24"/>
  <c r="K24" i="24"/>
  <c r="L24" i="24"/>
  <c r="M24" i="24"/>
  <c r="N24" i="24"/>
  <c r="O24" i="24"/>
  <c r="P24" i="24"/>
  <c r="Q24" i="24"/>
  <c r="H44" i="24"/>
  <c r="H66" i="24"/>
  <c r="H67" i="24"/>
  <c r="I67" i="24"/>
  <c r="J67" i="24"/>
  <c r="K67" i="24"/>
  <c r="L67" i="24"/>
  <c r="M67" i="24"/>
  <c r="N67" i="24"/>
  <c r="O67" i="24"/>
  <c r="H78" i="24"/>
  <c r="H82" i="24"/>
  <c r="I82" i="24"/>
  <c r="J82" i="24"/>
  <c r="K82" i="24"/>
  <c r="L82" i="24"/>
  <c r="M82" i="24"/>
  <c r="N82" i="24"/>
  <c r="O82" i="24"/>
  <c r="P82" i="24"/>
  <c r="Q82" i="24"/>
  <c r="H99" i="24"/>
  <c r="I99" i="24"/>
  <c r="H103" i="24"/>
  <c r="I103" i="24"/>
  <c r="J103" i="24"/>
  <c r="K103" i="24"/>
  <c r="L103" i="24"/>
  <c r="M103" i="24"/>
  <c r="N103" i="24"/>
  <c r="O103" i="24"/>
  <c r="P103" i="24"/>
  <c r="Q103" i="24"/>
  <c r="R103" i="24"/>
  <c r="H121" i="24"/>
  <c r="H122" i="24"/>
  <c r="H126" i="24"/>
  <c r="H128" i="24"/>
  <c r="I128" i="24"/>
  <c r="H133" i="24"/>
  <c r="H136" i="24"/>
  <c r="I16" i="24"/>
  <c r="J16" i="24"/>
  <c r="I17" i="24"/>
  <c r="I133" i="24"/>
  <c r="J133" i="24"/>
  <c r="J17" i="24"/>
  <c r="K17" i="24"/>
  <c r="L17" i="24"/>
  <c r="M17" i="24"/>
  <c r="N17" i="24"/>
  <c r="O17" i="24"/>
  <c r="P17" i="24"/>
  <c r="Q17" i="24"/>
  <c r="R17" i="24"/>
  <c r="L32" i="24"/>
  <c r="E28" i="24"/>
  <c r="E49" i="24"/>
  <c r="E62" i="24"/>
  <c r="R80" i="24"/>
  <c r="S80" i="24"/>
  <c r="S81" i="24"/>
  <c r="S85" i="24"/>
  <c r="S90" i="24"/>
  <c r="S91" i="24"/>
  <c r="E96" i="24"/>
  <c r="G122" i="24"/>
  <c r="R122" i="24"/>
  <c r="R125" i="24"/>
  <c r="R124" i="24"/>
  <c r="E125" i="24"/>
  <c r="R126" i="24"/>
  <c r="R129" i="24"/>
  <c r="E140" i="24"/>
  <c r="I144" i="24"/>
  <c r="J144" i="24"/>
  <c r="K144" i="24"/>
  <c r="L144" i="24"/>
  <c r="M144" i="24"/>
  <c r="N144" i="24"/>
  <c r="O144" i="24"/>
  <c r="P144" i="24"/>
  <c r="Q144" i="24"/>
  <c r="S91" i="23"/>
  <c r="G122" i="23"/>
  <c r="R122" i="23"/>
  <c r="I144" i="23"/>
  <c r="F7" i="23"/>
  <c r="G40" i="23"/>
  <c r="G106" i="23"/>
  <c r="G129" i="23"/>
  <c r="G18" i="23"/>
  <c r="H129" i="23"/>
  <c r="E28" i="23"/>
  <c r="E49" i="23"/>
  <c r="E62" i="23"/>
  <c r="E96" i="23"/>
  <c r="E125" i="23"/>
  <c r="R129" i="23"/>
  <c r="E140" i="23"/>
  <c r="F7" i="22"/>
  <c r="G129" i="22"/>
  <c r="G113" i="22"/>
  <c r="G18" i="22"/>
  <c r="H129" i="22"/>
  <c r="E28" i="22"/>
  <c r="E49" i="22"/>
  <c r="E62" i="22"/>
  <c r="S91" i="22"/>
  <c r="E96" i="22"/>
  <c r="G122" i="22"/>
  <c r="R122" i="22"/>
  <c r="E125" i="22"/>
  <c r="R129" i="22"/>
  <c r="E140" i="22"/>
  <c r="I144" i="22"/>
  <c r="J144" i="22"/>
  <c r="K144" i="22"/>
  <c r="F7" i="21"/>
  <c r="G106" i="21"/>
  <c r="G129" i="21"/>
  <c r="H113" i="21"/>
  <c r="E28" i="21"/>
  <c r="E49" i="21"/>
  <c r="E62" i="21"/>
  <c r="S91" i="21"/>
  <c r="E96" i="21"/>
  <c r="G122" i="21"/>
  <c r="R122" i="21"/>
  <c r="E125" i="21"/>
  <c r="R129" i="21"/>
  <c r="E140" i="21"/>
  <c r="I144" i="21"/>
  <c r="J144" i="21"/>
  <c r="K144" i="21"/>
  <c r="G113" i="20"/>
  <c r="G155" i="20"/>
  <c r="H129" i="20"/>
  <c r="S91" i="20"/>
  <c r="G122" i="20"/>
  <c r="G125" i="20"/>
  <c r="R122" i="20"/>
  <c r="R126" i="20"/>
  <c r="G10" i="20"/>
  <c r="S10" i="20"/>
  <c r="R129" i="20"/>
  <c r="I144" i="20"/>
  <c r="J144" i="20"/>
  <c r="E28" i="20"/>
  <c r="E49" i="20"/>
  <c r="E62" i="20"/>
  <c r="E96" i="20"/>
  <c r="E125" i="20"/>
  <c r="E140" i="20"/>
  <c r="H36" i="16"/>
  <c r="I36" i="16"/>
  <c r="G36" i="15"/>
  <c r="H36" i="15"/>
  <c r="H34" i="17"/>
  <c r="G33" i="15"/>
  <c r="F18" i="17"/>
  <c r="F34" i="17"/>
  <c r="F25" i="17"/>
  <c r="F46" i="17"/>
  <c r="F47" i="17"/>
  <c r="F50" i="17"/>
  <c r="F51" i="17"/>
  <c r="F57" i="17"/>
  <c r="F59" i="17"/>
  <c r="F62" i="17"/>
  <c r="F66" i="17"/>
  <c r="F85" i="17"/>
  <c r="F86" i="17"/>
  <c r="F93" i="17"/>
  <c r="F106" i="17"/>
  <c r="F113" i="17"/>
  <c r="F116" i="17"/>
  <c r="F125" i="17"/>
  <c r="F122" i="17"/>
  <c r="F126" i="17"/>
  <c r="F129" i="17"/>
  <c r="F137" i="17"/>
  <c r="F149" i="17"/>
  <c r="F155" i="17"/>
  <c r="G25" i="17"/>
  <c r="G46" i="17"/>
  <c r="G47" i="17"/>
  <c r="G57" i="17"/>
  <c r="G62" i="17"/>
  <c r="G85" i="17"/>
  <c r="G86" i="17"/>
  <c r="G106" i="17"/>
  <c r="G93" i="17"/>
  <c r="G113" i="17"/>
  <c r="G122" i="17"/>
  <c r="G123" i="17"/>
  <c r="G125" i="17"/>
  <c r="G129" i="17"/>
  <c r="G137" i="17"/>
  <c r="G149" i="17"/>
  <c r="G155" i="17"/>
  <c r="H25" i="17"/>
  <c r="H29" i="17"/>
  <c r="H57" i="17"/>
  <c r="H62" i="17"/>
  <c r="H85" i="17"/>
  <c r="H86" i="17"/>
  <c r="H106" i="17"/>
  <c r="H93" i="17"/>
  <c r="H94" i="17"/>
  <c r="H113" i="17"/>
  <c r="H122" i="17"/>
  <c r="H126" i="17"/>
  <c r="H125" i="17"/>
  <c r="H129" i="17"/>
  <c r="H137" i="17"/>
  <c r="H138" i="17"/>
  <c r="H142" i="17"/>
  <c r="H149" i="17"/>
  <c r="H150" i="17"/>
  <c r="H155" i="17"/>
  <c r="I25" i="17"/>
  <c r="I29" i="17"/>
  <c r="I53" i="17"/>
  <c r="I68" i="17"/>
  <c r="I85" i="17"/>
  <c r="I86" i="17"/>
  <c r="I106" i="17"/>
  <c r="I93" i="17"/>
  <c r="I97" i="17"/>
  <c r="I113" i="17"/>
  <c r="I122" i="17"/>
  <c r="I126" i="17"/>
  <c r="I129" i="17"/>
  <c r="I137" i="17"/>
  <c r="I149" i="17"/>
  <c r="I155" i="17"/>
  <c r="J25" i="17"/>
  <c r="J29" i="17"/>
  <c r="E28" i="17"/>
  <c r="E49" i="17"/>
  <c r="J53" i="17"/>
  <c r="E62" i="17"/>
  <c r="J68" i="17"/>
  <c r="J85" i="17"/>
  <c r="J86" i="17"/>
  <c r="J93" i="17"/>
  <c r="J94" i="17"/>
  <c r="E96" i="17"/>
  <c r="J106" i="17"/>
  <c r="J113" i="17"/>
  <c r="J122" i="17"/>
  <c r="J126" i="17"/>
  <c r="J125" i="17"/>
  <c r="E125" i="17"/>
  <c r="J129" i="17"/>
  <c r="J137" i="17"/>
  <c r="E140" i="17"/>
  <c r="J149" i="17"/>
  <c r="J155" i="17"/>
  <c r="F33" i="16"/>
  <c r="F34" i="16"/>
  <c r="F44" i="16"/>
  <c r="F46" i="16"/>
  <c r="F49" i="16"/>
  <c r="F57" i="16"/>
  <c r="F59" i="16"/>
  <c r="F62" i="16"/>
  <c r="F96" i="16"/>
  <c r="F125" i="16"/>
  <c r="F140" i="16"/>
  <c r="F79" i="16"/>
  <c r="I10" i="16"/>
  <c r="I13" i="16"/>
  <c r="H14" i="16"/>
  <c r="I16" i="16"/>
  <c r="I17" i="16"/>
  <c r="I15" i="16"/>
  <c r="I31" i="16"/>
  <c r="I32" i="16"/>
  <c r="I33" i="16"/>
  <c r="H34" i="16"/>
  <c r="H40" i="16"/>
  <c r="I34" i="16"/>
  <c r="I35" i="16"/>
  <c r="I37" i="16"/>
  <c r="I38" i="16"/>
  <c r="I39" i="16"/>
  <c r="H23" i="16"/>
  <c r="I23" i="16"/>
  <c r="H25" i="16"/>
  <c r="H27" i="16"/>
  <c r="I28" i="16"/>
  <c r="I22" i="16"/>
  <c r="I24" i="16"/>
  <c r="I44" i="16"/>
  <c r="I45" i="16"/>
  <c r="I47" i="16"/>
  <c r="I48" i="16"/>
  <c r="I49" i="16"/>
  <c r="I50" i="16"/>
  <c r="I52" i="16"/>
  <c r="I53" i="16"/>
  <c r="I57" i="16"/>
  <c r="I58" i="16"/>
  <c r="I60" i="16"/>
  <c r="I61" i="16"/>
  <c r="I62" i="16"/>
  <c r="I63" i="16"/>
  <c r="I65" i="16"/>
  <c r="I66" i="16"/>
  <c r="I67" i="16"/>
  <c r="H72" i="16"/>
  <c r="I72" i="16"/>
  <c r="I75" i="16"/>
  <c r="I79" i="16"/>
  <c r="I80" i="16"/>
  <c r="I82" i="16"/>
  <c r="I83" i="16"/>
  <c r="I84" i="16"/>
  <c r="I116" i="16"/>
  <c r="H85" i="16"/>
  <c r="I85" i="16"/>
  <c r="H81" i="16"/>
  <c r="I78" i="16"/>
  <c r="I99" i="16"/>
  <c r="I100" i="16"/>
  <c r="I101" i="16"/>
  <c r="I103" i="16"/>
  <c r="H104" i="16"/>
  <c r="I104" i="16"/>
  <c r="H105" i="16"/>
  <c r="H102" i="16"/>
  <c r="I102" i="16"/>
  <c r="H93" i="16"/>
  <c r="I96" i="16"/>
  <c r="I89" i="16"/>
  <c r="I90" i="16"/>
  <c r="I91" i="16"/>
  <c r="I92" i="16"/>
  <c r="I121" i="16"/>
  <c r="I122" i="16"/>
  <c r="I123" i="16"/>
  <c r="I124" i="16"/>
  <c r="I125" i="16"/>
  <c r="I126" i="16"/>
  <c r="I127" i="16"/>
  <c r="I128" i="16"/>
  <c r="I129" i="16"/>
  <c r="I136" i="16"/>
  <c r="I137" i="16"/>
  <c r="I138" i="16"/>
  <c r="I139" i="16"/>
  <c r="I140" i="16"/>
  <c r="I141" i="16"/>
  <c r="I153" i="16"/>
  <c r="I154" i="16"/>
  <c r="I155" i="16"/>
  <c r="I110" i="16"/>
  <c r="H111" i="16"/>
  <c r="I111" i="16"/>
  <c r="H112" i="16"/>
  <c r="I112" i="16"/>
  <c r="I113" i="16"/>
  <c r="H13" i="15"/>
  <c r="H116" i="16"/>
  <c r="H46" i="16"/>
  <c r="H51" i="16"/>
  <c r="H53" i="16"/>
  <c r="H59" i="16"/>
  <c r="H64" i="16"/>
  <c r="H68" i="16"/>
  <c r="H113" i="16"/>
  <c r="H127" i="16"/>
  <c r="H122" i="16"/>
  <c r="H129" i="16"/>
  <c r="H137" i="16"/>
  <c r="H142" i="16"/>
  <c r="H150" i="16"/>
  <c r="H155" i="16"/>
  <c r="I109" i="16"/>
  <c r="I108" i="16"/>
  <c r="I88" i="16"/>
  <c r="I87" i="16"/>
  <c r="F100" i="16"/>
  <c r="F103" i="16"/>
  <c r="F111" i="16"/>
  <c r="F121" i="16"/>
  <c r="F122" i="16"/>
  <c r="F137" i="16"/>
  <c r="F139" i="16"/>
  <c r="F145" i="16"/>
  <c r="F146" i="16"/>
  <c r="F147" i="16"/>
  <c r="F155" i="16"/>
  <c r="G159" i="16"/>
  <c r="E28" i="16"/>
  <c r="E49" i="16"/>
  <c r="E62" i="16"/>
  <c r="E96" i="16"/>
  <c r="E125" i="16"/>
  <c r="E140" i="16"/>
  <c r="G34" i="15"/>
  <c r="H34" i="15"/>
  <c r="G31" i="15"/>
  <c r="G32" i="15"/>
  <c r="G37" i="15"/>
  <c r="G38" i="15"/>
  <c r="H38" i="15"/>
  <c r="G23" i="15"/>
  <c r="G89" i="15"/>
  <c r="G99" i="15"/>
  <c r="G100" i="15"/>
  <c r="H100" i="15"/>
  <c r="H99" i="15"/>
  <c r="G101" i="15"/>
  <c r="H101" i="15"/>
  <c r="G102" i="15"/>
  <c r="H102" i="15"/>
  <c r="G103" i="15"/>
  <c r="H103" i="15"/>
  <c r="G104" i="15"/>
  <c r="H104" i="15"/>
  <c r="G105" i="15"/>
  <c r="H105" i="15"/>
  <c r="H106" i="15"/>
  <c r="F7" i="15"/>
  <c r="G85" i="15"/>
  <c r="H85" i="15"/>
  <c r="H78" i="15"/>
  <c r="H79" i="15"/>
  <c r="H80" i="15"/>
  <c r="G81" i="15"/>
  <c r="H81" i="15"/>
  <c r="G82" i="15"/>
  <c r="H82" i="15"/>
  <c r="H83" i="15"/>
  <c r="H84" i="15"/>
  <c r="H86" i="15"/>
  <c r="G133" i="15"/>
  <c r="H133" i="15"/>
  <c r="G46" i="15"/>
  <c r="G51" i="15"/>
  <c r="G53" i="15"/>
  <c r="G59" i="15"/>
  <c r="G64" i="15"/>
  <c r="G68" i="15"/>
  <c r="G127" i="15"/>
  <c r="G72" i="15"/>
  <c r="H72" i="15"/>
  <c r="G111" i="15"/>
  <c r="G112" i="15"/>
  <c r="G113" i="15"/>
  <c r="G14" i="15"/>
  <c r="H14" i="15"/>
  <c r="H15" i="15"/>
  <c r="H16" i="15"/>
  <c r="H17" i="15"/>
  <c r="H28" i="15"/>
  <c r="H22" i="15"/>
  <c r="H24" i="15"/>
  <c r="H32" i="15"/>
  <c r="H35" i="15"/>
  <c r="H37" i="15"/>
  <c r="H39" i="15"/>
  <c r="H44" i="15"/>
  <c r="H45" i="15"/>
  <c r="H47" i="15"/>
  <c r="H48" i="15"/>
  <c r="H49" i="15"/>
  <c r="H50" i="15"/>
  <c r="H52" i="15"/>
  <c r="H53" i="15"/>
  <c r="H57" i="15"/>
  <c r="H58" i="15"/>
  <c r="H60" i="15"/>
  <c r="H61" i="15"/>
  <c r="H62" i="15"/>
  <c r="H63" i="15"/>
  <c r="H65" i="15"/>
  <c r="H66" i="15"/>
  <c r="H67" i="15"/>
  <c r="H116" i="15"/>
  <c r="H90" i="15"/>
  <c r="H92" i="15"/>
  <c r="H91" i="15"/>
  <c r="H110" i="15"/>
  <c r="H111" i="15"/>
  <c r="H112" i="15"/>
  <c r="G122" i="15"/>
  <c r="H121" i="15"/>
  <c r="H122" i="15"/>
  <c r="H123" i="15"/>
  <c r="H124" i="15"/>
  <c r="H125" i="15"/>
  <c r="H126" i="15"/>
  <c r="G129" i="15"/>
  <c r="H128" i="15"/>
  <c r="H129" i="15"/>
  <c r="G137" i="15"/>
  <c r="H136" i="15"/>
  <c r="H137" i="15"/>
  <c r="G142" i="15"/>
  <c r="G150" i="15"/>
  <c r="H138" i="15"/>
  <c r="H139" i="15"/>
  <c r="H140" i="15"/>
  <c r="H141" i="15"/>
  <c r="G155" i="15"/>
  <c r="H153" i="15"/>
  <c r="H154" i="15"/>
  <c r="H155" i="15"/>
  <c r="H87" i="15"/>
  <c r="H88" i="15"/>
  <c r="H108" i="15"/>
  <c r="H109" i="15"/>
  <c r="F159" i="15"/>
  <c r="F161" i="15"/>
  <c r="E28" i="15"/>
  <c r="E49" i="15"/>
  <c r="E62" i="15"/>
  <c r="E96" i="15"/>
  <c r="E125" i="15"/>
  <c r="E140" i="15"/>
  <c r="I19" i="1"/>
  <c r="H19" i="1"/>
  <c r="F71" i="1"/>
  <c r="F101" i="1"/>
  <c r="J67" i="1"/>
  <c r="I67" i="1"/>
  <c r="H67" i="1"/>
  <c r="G67" i="1"/>
  <c r="F67" i="1"/>
  <c r="F7" i="1"/>
  <c r="F28" i="1"/>
  <c r="G7" i="1"/>
  <c r="G28" i="1"/>
  <c r="H7" i="1"/>
  <c r="H28" i="1"/>
  <c r="H26" i="1"/>
  <c r="G27" i="1"/>
  <c r="H27" i="1"/>
  <c r="I27" i="1"/>
  <c r="J27" i="1"/>
  <c r="H34" i="1"/>
  <c r="F59" i="1"/>
  <c r="F98" i="1"/>
  <c r="F100" i="1"/>
  <c r="G100" i="1"/>
  <c r="H100" i="1"/>
  <c r="I100" i="1"/>
  <c r="J100" i="1"/>
  <c r="F19" i="1"/>
  <c r="F107" i="1"/>
  <c r="F26" i="1"/>
  <c r="F13" i="1"/>
  <c r="F14" i="1"/>
  <c r="F63" i="1"/>
  <c r="G63" i="1"/>
  <c r="H63" i="1"/>
  <c r="G19" i="1"/>
  <c r="J19" i="1"/>
  <c r="J95" i="1"/>
  <c r="I95" i="1"/>
  <c r="H95" i="1"/>
  <c r="G95" i="1"/>
  <c r="F95" i="1"/>
  <c r="G74" i="1"/>
  <c r="G54" i="1"/>
  <c r="H54" i="1"/>
  <c r="I54" i="1"/>
  <c r="J54" i="1"/>
  <c r="F29" i="1"/>
  <c r="F38" i="1"/>
  <c r="F55" i="1"/>
  <c r="F56" i="1"/>
  <c r="F92" i="1"/>
  <c r="G75" i="1"/>
  <c r="H75" i="1"/>
  <c r="G70" i="1"/>
  <c r="G72" i="1"/>
  <c r="H72" i="1"/>
  <c r="I72" i="1"/>
  <c r="J72" i="1"/>
  <c r="G62" i="1"/>
  <c r="G103" i="1"/>
  <c r="G99" i="1"/>
  <c r="H99" i="1"/>
  <c r="I99" i="1"/>
  <c r="J99" i="1"/>
  <c r="G51" i="1"/>
  <c r="H51" i="1"/>
  <c r="G53" i="1"/>
  <c r="H53" i="1"/>
  <c r="I53" i="1"/>
  <c r="J53" i="1"/>
  <c r="G55" i="1"/>
  <c r="G108" i="1"/>
  <c r="H108" i="1"/>
  <c r="I108" i="1"/>
  <c r="J108" i="1"/>
  <c r="H73" i="1"/>
  <c r="I73" i="1"/>
  <c r="J73" i="1"/>
  <c r="H74" i="1"/>
  <c r="I74" i="1"/>
  <c r="J74" i="1"/>
  <c r="H76" i="1"/>
  <c r="I76" i="1"/>
  <c r="J76" i="1"/>
  <c r="H55" i="1"/>
  <c r="I55" i="1"/>
  <c r="J55" i="1"/>
  <c r="E55" i="1"/>
  <c r="F129" i="25"/>
  <c r="F130" i="25"/>
  <c r="F123" i="25"/>
  <c r="F124" i="25"/>
  <c r="F125" i="25"/>
  <c r="F127" i="25"/>
  <c r="F128" i="25"/>
  <c r="F131" i="25"/>
  <c r="P67" i="24"/>
  <c r="O23" i="20"/>
  <c r="L38" i="24"/>
  <c r="M38" i="24"/>
  <c r="N38" i="24"/>
  <c r="O38" i="24"/>
  <c r="P38" i="24"/>
  <c r="Q38" i="24"/>
  <c r="R38" i="24"/>
  <c r="N102" i="24"/>
  <c r="R126" i="22"/>
  <c r="R124" i="22"/>
  <c r="G68" i="24"/>
  <c r="H65" i="24"/>
  <c r="J16" i="23"/>
  <c r="K16" i="23"/>
  <c r="I110" i="22"/>
  <c r="I104" i="22"/>
  <c r="J104" i="22"/>
  <c r="H103" i="20"/>
  <c r="I103" i="20"/>
  <c r="J103" i="20"/>
  <c r="J147" i="20"/>
  <c r="K147" i="20"/>
  <c r="L147" i="20"/>
  <c r="G124" i="22"/>
  <c r="G123" i="22"/>
  <c r="I79" i="24"/>
  <c r="H22" i="23"/>
  <c r="G25" i="23"/>
  <c r="I34" i="23"/>
  <c r="H122" i="23"/>
  <c r="H123" i="23"/>
  <c r="I84" i="22"/>
  <c r="J84" i="22"/>
  <c r="K84" i="22"/>
  <c r="I33" i="22"/>
  <c r="J33" i="22"/>
  <c r="K33" i="22"/>
  <c r="I99" i="21"/>
  <c r="H14" i="21"/>
  <c r="G85" i="21"/>
  <c r="H105" i="20"/>
  <c r="I105" i="20"/>
  <c r="J105" i="20"/>
  <c r="K105" i="20"/>
  <c r="L105" i="20"/>
  <c r="M105" i="20"/>
  <c r="N105" i="20"/>
  <c r="O105" i="20"/>
  <c r="P105" i="20"/>
  <c r="Q105" i="20"/>
  <c r="H99" i="20"/>
  <c r="M133" i="20"/>
  <c r="N133" i="20"/>
  <c r="I143" i="20"/>
  <c r="H145" i="22"/>
  <c r="H101" i="25"/>
  <c r="G107" i="25"/>
  <c r="G86" i="15"/>
  <c r="E24" i="16"/>
  <c r="F141" i="16"/>
  <c r="G126" i="17"/>
  <c r="I121" i="24"/>
  <c r="J121" i="24"/>
  <c r="G141" i="23"/>
  <c r="G139" i="23"/>
  <c r="I39" i="23"/>
  <c r="J39" i="23"/>
  <c r="K39" i="23"/>
  <c r="I78" i="21"/>
  <c r="O150" i="25"/>
  <c r="I103" i="21"/>
  <c r="J103" i="21"/>
  <c r="K103" i="21"/>
  <c r="L103" i="21"/>
  <c r="I84" i="21"/>
  <c r="K35" i="25"/>
  <c r="M35" i="25"/>
  <c r="O35" i="25"/>
  <c r="G123" i="20"/>
  <c r="G126" i="20"/>
  <c r="R124" i="21"/>
  <c r="R123" i="21"/>
  <c r="R123" i="23"/>
  <c r="R125" i="23"/>
  <c r="R126" i="23"/>
  <c r="I38" i="23"/>
  <c r="J38" i="23"/>
  <c r="K38" i="23"/>
  <c r="L38" i="23"/>
  <c r="H137" i="22"/>
  <c r="J16" i="21"/>
  <c r="K16" i="21"/>
  <c r="L16" i="21"/>
  <c r="M16" i="21"/>
  <c r="G137" i="21"/>
  <c r="H136" i="21"/>
  <c r="J34" i="21"/>
  <c r="K34" i="21"/>
  <c r="L34" i="21"/>
  <c r="M34" i="21"/>
  <c r="N34" i="21"/>
  <c r="O34" i="21"/>
  <c r="P34" i="21"/>
  <c r="Q34" i="21"/>
  <c r="R34" i="21"/>
  <c r="G85" i="20"/>
  <c r="H14" i="20"/>
  <c r="F87" i="1"/>
  <c r="E24" i="15"/>
  <c r="F138" i="16"/>
  <c r="H29" i="16"/>
  <c r="I29" i="16"/>
  <c r="E24" i="17"/>
  <c r="I123" i="17"/>
  <c r="I26" i="17"/>
  <c r="H117" i="17"/>
  <c r="E24" i="20"/>
  <c r="H155" i="20"/>
  <c r="G129" i="20"/>
  <c r="E24" i="22"/>
  <c r="R123" i="24"/>
  <c r="R127" i="24"/>
  <c r="R130" i="24"/>
  <c r="I89" i="23"/>
  <c r="I35" i="23"/>
  <c r="J35" i="23"/>
  <c r="K35" i="23"/>
  <c r="R124" i="23"/>
  <c r="J154" i="22"/>
  <c r="I79" i="22"/>
  <c r="P37" i="20"/>
  <c r="G124" i="20"/>
  <c r="G24" i="25"/>
  <c r="I24" i="25"/>
  <c r="E24" i="25"/>
  <c r="F24" i="25"/>
  <c r="J24" i="25"/>
  <c r="E24" i="24"/>
  <c r="R124" i="20"/>
  <c r="R123" i="20"/>
  <c r="R125" i="20"/>
  <c r="G123" i="24"/>
  <c r="G126" i="24"/>
  <c r="G125" i="24"/>
  <c r="G61" i="23"/>
  <c r="I105" i="23"/>
  <c r="J105" i="23"/>
  <c r="I128" i="22"/>
  <c r="I101" i="20"/>
  <c r="J89" i="20"/>
  <c r="H84" i="20"/>
  <c r="M147" i="23"/>
  <c r="N147" i="23"/>
  <c r="O147" i="23"/>
  <c r="H144" i="25"/>
  <c r="H70" i="1"/>
  <c r="I70" i="1"/>
  <c r="J70" i="1"/>
  <c r="E24" i="21"/>
  <c r="H106" i="21"/>
  <c r="G113" i="21"/>
  <c r="G124" i="24"/>
  <c r="S104" i="21"/>
  <c r="S24" i="21"/>
  <c r="J22" i="21"/>
  <c r="I122" i="20"/>
  <c r="I79" i="20"/>
  <c r="J79" i="20"/>
  <c r="J17" i="20"/>
  <c r="H149" i="21"/>
  <c r="I143" i="21"/>
  <c r="I147" i="24"/>
  <c r="J147" i="24"/>
  <c r="K147" i="24"/>
  <c r="H13" i="24"/>
  <c r="H93" i="20"/>
  <c r="S36" i="20"/>
  <c r="S34" i="20"/>
  <c r="S112" i="20"/>
  <c r="S111" i="20"/>
  <c r="I149" i="16"/>
  <c r="S147" i="21"/>
  <c r="S147" i="22"/>
  <c r="G149" i="22"/>
  <c r="G149" i="23"/>
  <c r="L151" i="25"/>
  <c r="G93" i="20"/>
  <c r="G94" i="20"/>
  <c r="H145" i="20"/>
  <c r="L146" i="22"/>
  <c r="I143" i="22"/>
  <c r="I143" i="23"/>
  <c r="H149" i="23"/>
  <c r="H146" i="24"/>
  <c r="I146" i="24"/>
  <c r="H63" i="25"/>
  <c r="H61" i="25"/>
  <c r="H60" i="25"/>
  <c r="K94" i="25"/>
  <c r="M90" i="25"/>
  <c r="I66" i="10"/>
  <c r="I79" i="10"/>
  <c r="I140" i="10"/>
  <c r="M140" i="10"/>
  <c r="J66" i="10"/>
  <c r="L79" i="10"/>
  <c r="J79" i="10"/>
  <c r="L140" i="10"/>
  <c r="L66" i="10"/>
  <c r="J140" i="10"/>
  <c r="K79" i="10"/>
  <c r="H179" i="10"/>
  <c r="M179" i="10"/>
  <c r="L216" i="10"/>
  <c r="J179" i="10"/>
  <c r="H66" i="10"/>
  <c r="H216" i="10"/>
  <c r="M216" i="10"/>
  <c r="I166" i="10"/>
  <c r="I216" i="10"/>
  <c r="K166" i="10"/>
  <c r="J216" i="10"/>
  <c r="H166" i="10"/>
  <c r="L166" i="10"/>
  <c r="K140" i="10"/>
  <c r="K216" i="10"/>
  <c r="K179" i="10"/>
  <c r="J166" i="10"/>
  <c r="K66" i="10"/>
  <c r="L179" i="10"/>
  <c r="I179" i="10"/>
  <c r="H79" i="10"/>
  <c r="M79" i="10"/>
  <c r="E179" i="10"/>
  <c r="E66" i="10"/>
  <c r="K97" i="25"/>
  <c r="F49" i="25"/>
  <c r="F97" i="25"/>
  <c r="H62" i="25"/>
  <c r="I141" i="25"/>
  <c r="J49" i="25"/>
  <c r="J62" i="25"/>
  <c r="I125" i="17"/>
  <c r="E79" i="10"/>
  <c r="H97" i="25"/>
  <c r="I126" i="25"/>
  <c r="E28" i="25"/>
  <c r="E62" i="25"/>
  <c r="J141" i="25"/>
  <c r="E140" i="10"/>
  <c r="M97" i="25"/>
  <c r="O97" i="25"/>
  <c r="G62" i="25"/>
  <c r="G126" i="25"/>
  <c r="G141" i="25"/>
  <c r="H49" i="25"/>
  <c r="I62" i="25"/>
  <c r="E49" i="25"/>
  <c r="J126" i="25"/>
  <c r="E141" i="25"/>
  <c r="G96" i="15"/>
  <c r="H96" i="15"/>
  <c r="E166" i="10"/>
  <c r="G49" i="25"/>
  <c r="H126" i="25"/>
  <c r="H141" i="25"/>
  <c r="I49" i="25"/>
  <c r="I97" i="25"/>
  <c r="J97" i="25"/>
  <c r="E126" i="25"/>
  <c r="H46" i="23"/>
  <c r="H137" i="23"/>
  <c r="S145" i="21"/>
  <c r="L131" i="25"/>
  <c r="E216" i="10"/>
  <c r="M16" i="20"/>
  <c r="N16" i="20"/>
  <c r="O16" i="20"/>
  <c r="I146" i="21"/>
  <c r="J146" i="21"/>
  <c r="L146" i="23"/>
  <c r="M146" i="23"/>
  <c r="N146" i="23"/>
  <c r="O146" i="23"/>
  <c r="P146" i="23"/>
  <c r="H92" i="25"/>
  <c r="I92" i="25"/>
  <c r="J92" i="25"/>
  <c r="S23" i="22"/>
  <c r="I33" i="21"/>
  <c r="I153" i="20"/>
  <c r="S102" i="20"/>
  <c r="H125" i="20"/>
  <c r="G149" i="20"/>
  <c r="S148" i="21"/>
  <c r="E41" i="10"/>
  <c r="S145" i="24"/>
  <c r="F107" i="25"/>
  <c r="O68" i="25"/>
  <c r="M151" i="25"/>
  <c r="L54" i="25"/>
  <c r="F139" i="25"/>
  <c r="S145" i="23"/>
  <c r="O143" i="25"/>
  <c r="O151" i="25"/>
  <c r="O87" i="25"/>
  <c r="O114" i="25"/>
  <c r="M69" i="25"/>
  <c r="L41" i="25"/>
  <c r="I229" i="10"/>
  <c r="J229" i="10"/>
  <c r="I146" i="10"/>
  <c r="J146" i="10"/>
  <c r="K146" i="10"/>
  <c r="H233" i="10"/>
  <c r="N90" i="25"/>
  <c r="N94" i="25"/>
  <c r="M94" i="25"/>
  <c r="J143" i="23"/>
  <c r="G96" i="20"/>
  <c r="G95" i="20"/>
  <c r="G97" i="20"/>
  <c r="J99" i="24"/>
  <c r="K89" i="20"/>
  <c r="Q37" i="20"/>
  <c r="H85" i="20"/>
  <c r="I14" i="20"/>
  <c r="J14" i="20"/>
  <c r="J85" i="20"/>
  <c r="J136" i="22"/>
  <c r="J137" i="22"/>
  <c r="H124" i="24"/>
  <c r="H123" i="24"/>
  <c r="H125" i="24"/>
  <c r="I99" i="20"/>
  <c r="H126" i="23"/>
  <c r="H125" i="23"/>
  <c r="H124" i="23"/>
  <c r="J110" i="22"/>
  <c r="K110" i="22"/>
  <c r="P14" i="23"/>
  <c r="Q14" i="23"/>
  <c r="R14" i="23"/>
  <c r="R127" i="20"/>
  <c r="R130" i="20"/>
  <c r="I13" i="24"/>
  <c r="H18" i="24"/>
  <c r="J143" i="21"/>
  <c r="J149" i="21"/>
  <c r="I149" i="21"/>
  <c r="I126" i="20"/>
  <c r="I124" i="20"/>
  <c r="I123" i="20"/>
  <c r="I125" i="20"/>
  <c r="J79" i="22"/>
  <c r="K79" i="22"/>
  <c r="L79" i="22"/>
  <c r="M79" i="22"/>
  <c r="L14" i="22"/>
  <c r="M14" i="22"/>
  <c r="J89" i="23"/>
  <c r="J78" i="21"/>
  <c r="J143" i="20"/>
  <c r="G86" i="21"/>
  <c r="J99" i="21"/>
  <c r="K33" i="24"/>
  <c r="I65" i="24"/>
  <c r="J65" i="24"/>
  <c r="K65" i="24"/>
  <c r="P23" i="20"/>
  <c r="J153" i="20"/>
  <c r="H49" i="23"/>
  <c r="H63" i="23"/>
  <c r="H50" i="23"/>
  <c r="J143" i="22"/>
  <c r="I144" i="25"/>
  <c r="J144" i="25"/>
  <c r="G127" i="24"/>
  <c r="G130" i="24"/>
  <c r="K154" i="22"/>
  <c r="L154" i="22"/>
  <c r="G138" i="21"/>
  <c r="G139" i="21"/>
  <c r="G141" i="21"/>
  <c r="G140" i="21"/>
  <c r="J100" i="22"/>
  <c r="K100" i="22"/>
  <c r="L100" i="22"/>
  <c r="M100" i="22"/>
  <c r="N100" i="22"/>
  <c r="O100" i="22"/>
  <c r="H25" i="23"/>
  <c r="I22" i="23"/>
  <c r="J101" i="23"/>
  <c r="K101" i="23"/>
  <c r="L101" i="23"/>
  <c r="M101" i="23"/>
  <c r="N101" i="23"/>
  <c r="O101" i="23"/>
  <c r="P101" i="23"/>
  <c r="P31" i="23"/>
  <c r="J33" i="21"/>
  <c r="K33" i="21"/>
  <c r="L33" i="21"/>
  <c r="M33" i="21"/>
  <c r="N33" i="21"/>
  <c r="O33" i="21"/>
  <c r="P33" i="21"/>
  <c r="Q33" i="21"/>
  <c r="R33" i="21"/>
  <c r="H138" i="23"/>
  <c r="H140" i="23"/>
  <c r="H139" i="23"/>
  <c r="H141" i="23"/>
  <c r="K22" i="21"/>
  <c r="J128" i="22"/>
  <c r="I129" i="22"/>
  <c r="G86" i="20"/>
  <c r="I136" i="21"/>
  <c r="J136" i="21"/>
  <c r="H137" i="21"/>
  <c r="J31" i="22"/>
  <c r="K31" i="22"/>
  <c r="L31" i="22"/>
  <c r="M31" i="22"/>
  <c r="N31" i="22"/>
  <c r="O31" i="22"/>
  <c r="P31" i="22"/>
  <c r="Q31" i="22"/>
  <c r="S31" i="22"/>
  <c r="H139" i="22"/>
  <c r="H141" i="22"/>
  <c r="H140" i="22"/>
  <c r="H138" i="22"/>
  <c r="K40" i="25"/>
  <c r="K41" i="25"/>
  <c r="K54" i="25"/>
  <c r="K69" i="25"/>
  <c r="F94" i="25"/>
  <c r="F96" i="25"/>
  <c r="F95" i="25"/>
  <c r="K95" i="25"/>
  <c r="F98" i="25"/>
  <c r="K98" i="25"/>
  <c r="K151" i="25"/>
  <c r="K158" i="25"/>
  <c r="I122" i="24"/>
  <c r="J122" i="24"/>
  <c r="J124" i="24"/>
  <c r="I101" i="25"/>
  <c r="J101" i="25"/>
  <c r="H107" i="25"/>
  <c r="J121" i="23"/>
  <c r="I122" i="23"/>
  <c r="I123" i="23"/>
  <c r="G29" i="23"/>
  <c r="G28" i="23"/>
  <c r="J79" i="24"/>
  <c r="K79" i="24"/>
  <c r="R127" i="23"/>
  <c r="R130" i="23"/>
  <c r="L22" i="21"/>
  <c r="I18" i="24"/>
  <c r="J13" i="24"/>
  <c r="K79" i="20"/>
  <c r="I137" i="21"/>
  <c r="J22" i="23"/>
  <c r="K22" i="23"/>
  <c r="L22" i="23"/>
  <c r="M22" i="23"/>
  <c r="K143" i="22"/>
  <c r="L143" i="22"/>
  <c r="K89" i="23"/>
  <c r="K143" i="21"/>
  <c r="J122" i="23"/>
  <c r="K121" i="23"/>
  <c r="K122" i="23"/>
  <c r="K123" i="23"/>
  <c r="I138" i="22"/>
  <c r="I141" i="22"/>
  <c r="I140" i="22"/>
  <c r="I139" i="22"/>
  <c r="I142" i="22"/>
  <c r="H138" i="21"/>
  <c r="Q31" i="23"/>
  <c r="K153" i="20"/>
  <c r="L153" i="20"/>
  <c r="L33" i="24"/>
  <c r="J99" i="20"/>
  <c r="K99" i="20"/>
  <c r="L99" i="20"/>
  <c r="M99" i="20"/>
  <c r="N99" i="20"/>
  <c r="O99" i="20"/>
  <c r="P99" i="20"/>
  <c r="R37" i="20"/>
  <c r="L89" i="20"/>
  <c r="I125" i="24"/>
  <c r="I123" i="24"/>
  <c r="H26" i="23"/>
  <c r="H27" i="23"/>
  <c r="K143" i="20"/>
  <c r="I85" i="20"/>
  <c r="K143" i="23"/>
  <c r="N79" i="22"/>
  <c r="O79" i="22"/>
  <c r="P79" i="22"/>
  <c r="M89" i="20"/>
  <c r="J125" i="23"/>
  <c r="I138" i="21"/>
  <c r="L79" i="20"/>
  <c r="M79" i="20"/>
  <c r="N79" i="20"/>
  <c r="O79" i="20"/>
  <c r="P79" i="20"/>
  <c r="M33" i="24"/>
  <c r="N33" i="24"/>
  <c r="O33" i="24"/>
  <c r="P33" i="24"/>
  <c r="Q33" i="24"/>
  <c r="R33" i="24"/>
  <c r="L121" i="23"/>
  <c r="J125" i="24"/>
  <c r="L143" i="20"/>
  <c r="J138" i="22"/>
  <c r="M154" i="22"/>
  <c r="N154" i="22"/>
  <c r="L89" i="23"/>
  <c r="M89" i="23"/>
  <c r="N89" i="23"/>
  <c r="O89" i="23"/>
  <c r="P89" i="23"/>
  <c r="Q89" i="23"/>
  <c r="R89" i="23"/>
  <c r="M143" i="22"/>
  <c r="N143" i="22"/>
  <c r="O143" i="22"/>
  <c r="P143" i="22"/>
  <c r="Q143" i="22"/>
  <c r="R143" i="22"/>
  <c r="K13" i="24"/>
  <c r="S14" i="23"/>
  <c r="N89" i="20"/>
  <c r="O89" i="20"/>
  <c r="O154" i="22"/>
  <c r="P154" i="22"/>
  <c r="Q154" i="22"/>
  <c r="K14" i="20"/>
  <c r="K85" i="20"/>
  <c r="I124" i="23"/>
  <c r="K146" i="21"/>
  <c r="J146" i="24"/>
  <c r="J101" i="20"/>
  <c r="N16" i="21"/>
  <c r="O16" i="21"/>
  <c r="M147" i="20"/>
  <c r="K103" i="20"/>
  <c r="L103" i="20"/>
  <c r="M103" i="20"/>
  <c r="P16" i="20"/>
  <c r="L39" i="23"/>
  <c r="M39" i="23"/>
  <c r="M14" i="24"/>
  <c r="N14" i="24"/>
  <c r="O14" i="24"/>
  <c r="J139" i="22"/>
  <c r="K136" i="22"/>
  <c r="K121" i="24"/>
  <c r="S37" i="20"/>
  <c r="G98" i="20"/>
  <c r="N84" i="24"/>
  <c r="J89" i="22"/>
  <c r="J38" i="21"/>
  <c r="K38" i="21"/>
  <c r="L38" i="21"/>
  <c r="M38" i="21"/>
  <c r="N38" i="21"/>
  <c r="K17" i="20"/>
  <c r="L17" i="20"/>
  <c r="M17" i="20"/>
  <c r="J84" i="21"/>
  <c r="K84" i="21"/>
  <c r="L84" i="21"/>
  <c r="J34" i="23"/>
  <c r="K104" i="22"/>
  <c r="L104" i="22"/>
  <c r="M104" i="22"/>
  <c r="N104" i="22"/>
  <c r="S38" i="24"/>
  <c r="S104" i="24"/>
  <c r="S24" i="24"/>
  <c r="L35" i="24"/>
  <c r="K105" i="24"/>
  <c r="J66" i="23"/>
  <c r="K66" i="23"/>
  <c r="L66" i="23"/>
  <c r="J138" i="17"/>
  <c r="J142" i="17"/>
  <c r="J150" i="17"/>
  <c r="F138" i="17"/>
  <c r="F142" i="17"/>
  <c r="F150" i="17"/>
  <c r="F123" i="17"/>
  <c r="F127" i="17"/>
  <c r="F130" i="17"/>
  <c r="I136" i="24"/>
  <c r="H137" i="24"/>
  <c r="H141" i="24"/>
  <c r="G40" i="24"/>
  <c r="R32" i="24"/>
  <c r="H18" i="23"/>
  <c r="J133" i="23"/>
  <c r="K133" i="23"/>
  <c r="L133" i="23"/>
  <c r="H65" i="23"/>
  <c r="G68" i="23"/>
  <c r="K17" i="22"/>
  <c r="L17" i="22"/>
  <c r="H153" i="22"/>
  <c r="G155" i="22"/>
  <c r="H122" i="22"/>
  <c r="I121" i="22"/>
  <c r="L32" i="21"/>
  <c r="S32" i="21"/>
  <c r="H122" i="21"/>
  <c r="I121" i="21"/>
  <c r="G25" i="20"/>
  <c r="H22" i="20"/>
  <c r="G90" i="25"/>
  <c r="G94" i="25"/>
  <c r="N40" i="25"/>
  <c r="N41" i="25"/>
  <c r="O36" i="25"/>
  <c r="G56" i="1"/>
  <c r="F64" i="1"/>
  <c r="H127" i="15"/>
  <c r="G130" i="15"/>
  <c r="F149" i="16"/>
  <c r="H69" i="16"/>
  <c r="I93" i="16"/>
  <c r="I81" i="16"/>
  <c r="J26" i="17"/>
  <c r="J30" i="17"/>
  <c r="H123" i="17"/>
  <c r="H127" i="17"/>
  <c r="H130" i="17"/>
  <c r="H26" i="17"/>
  <c r="H30" i="17"/>
  <c r="G50" i="17"/>
  <c r="G51" i="17"/>
  <c r="G52" i="17"/>
  <c r="G53" i="17"/>
  <c r="G54" i="17"/>
  <c r="H57" i="24"/>
  <c r="S154" i="23"/>
  <c r="J122" i="20"/>
  <c r="G149" i="21"/>
  <c r="S148" i="22"/>
  <c r="F150" i="25"/>
  <c r="F142" i="25"/>
  <c r="N14" i="25"/>
  <c r="N131" i="25"/>
  <c r="O51" i="25"/>
  <c r="H95" i="16"/>
  <c r="I95" i="16"/>
  <c r="H97" i="16"/>
  <c r="I97" i="16"/>
  <c r="I138" i="17"/>
  <c r="I142" i="17"/>
  <c r="G138" i="17"/>
  <c r="G142" i="17"/>
  <c r="I129" i="24"/>
  <c r="J128" i="24"/>
  <c r="K128" i="24"/>
  <c r="L128" i="24"/>
  <c r="G50" i="24"/>
  <c r="G61" i="24"/>
  <c r="H153" i="23"/>
  <c r="G155" i="23"/>
  <c r="J44" i="23"/>
  <c r="I46" i="23"/>
  <c r="H79" i="23"/>
  <c r="I78" i="23"/>
  <c r="H99" i="22"/>
  <c r="H78" i="22"/>
  <c r="I78" i="22"/>
  <c r="G86" i="22"/>
  <c r="G25" i="22"/>
  <c r="H22" i="22"/>
  <c r="H153" i="21"/>
  <c r="I153" i="21"/>
  <c r="J153" i="21"/>
  <c r="K153" i="21"/>
  <c r="J31" i="21"/>
  <c r="I128" i="21"/>
  <c r="H129" i="21"/>
  <c r="G137" i="20"/>
  <c r="H136" i="20"/>
  <c r="H137" i="20"/>
  <c r="K31" i="20"/>
  <c r="I110" i="20"/>
  <c r="H113" i="20"/>
  <c r="G154" i="25"/>
  <c r="F156" i="25"/>
  <c r="G122" i="25"/>
  <c r="H122" i="25"/>
  <c r="G123" i="25"/>
  <c r="G125" i="25"/>
  <c r="G69" i="15"/>
  <c r="G106" i="15"/>
  <c r="I86" i="16"/>
  <c r="I51" i="16"/>
  <c r="G106" i="24"/>
  <c r="H25" i="21"/>
  <c r="O128" i="25"/>
  <c r="O131" i="25"/>
  <c r="I136" i="20"/>
  <c r="H25" i="22"/>
  <c r="I22" i="22"/>
  <c r="I63" i="23"/>
  <c r="I50" i="23"/>
  <c r="J129" i="24"/>
  <c r="N18" i="25"/>
  <c r="O14" i="25"/>
  <c r="O18" i="25"/>
  <c r="H25" i="20"/>
  <c r="I22" i="20"/>
  <c r="I122" i="21"/>
  <c r="J121" i="21"/>
  <c r="S32" i="24"/>
  <c r="H139" i="24"/>
  <c r="H140" i="24"/>
  <c r="H138" i="24"/>
  <c r="L105" i="24"/>
  <c r="K122" i="24"/>
  <c r="L121" i="24"/>
  <c r="M103" i="21"/>
  <c r="H26" i="21"/>
  <c r="H29" i="21"/>
  <c r="H27" i="21"/>
  <c r="H28" i="21"/>
  <c r="H154" i="25"/>
  <c r="H156" i="25"/>
  <c r="G156" i="25"/>
  <c r="I113" i="20"/>
  <c r="J110" i="20"/>
  <c r="K110" i="20"/>
  <c r="L110" i="20"/>
  <c r="L113" i="20"/>
  <c r="L31" i="20"/>
  <c r="G138" i="20"/>
  <c r="G139" i="20"/>
  <c r="G140" i="20"/>
  <c r="G141" i="20"/>
  <c r="K31" i="21"/>
  <c r="G29" i="22"/>
  <c r="G28" i="22"/>
  <c r="I99" i="22"/>
  <c r="I79" i="23"/>
  <c r="J79" i="23"/>
  <c r="K79" i="23"/>
  <c r="J46" i="23"/>
  <c r="K44" i="23"/>
  <c r="K46" i="23"/>
  <c r="I153" i="23"/>
  <c r="H155" i="23"/>
  <c r="H59" i="24"/>
  <c r="H60" i="24"/>
  <c r="I57" i="24"/>
  <c r="I59" i="24"/>
  <c r="I60" i="24"/>
  <c r="F65" i="1"/>
  <c r="F68" i="1"/>
  <c r="F66" i="1"/>
  <c r="G27" i="20"/>
  <c r="G26" i="20"/>
  <c r="H123" i="21"/>
  <c r="H125" i="21"/>
  <c r="H126" i="22"/>
  <c r="H125" i="22"/>
  <c r="H123" i="22"/>
  <c r="H124" i="22"/>
  <c r="H155" i="22"/>
  <c r="I153" i="22"/>
  <c r="M35" i="24"/>
  <c r="N35" i="24"/>
  <c r="K89" i="22"/>
  <c r="L89" i="22"/>
  <c r="M89" i="22"/>
  <c r="N89" i="22"/>
  <c r="O89" i="22"/>
  <c r="K137" i="22"/>
  <c r="L136" i="22"/>
  <c r="M136" i="22"/>
  <c r="N147" i="20"/>
  <c r="K101" i="20"/>
  <c r="L101" i="20"/>
  <c r="M101" i="20"/>
  <c r="K146" i="24"/>
  <c r="L146" i="21"/>
  <c r="I34" i="17"/>
  <c r="L14" i="20"/>
  <c r="K138" i="22"/>
  <c r="K141" i="22"/>
  <c r="K140" i="22"/>
  <c r="K139" i="22"/>
  <c r="J57" i="24"/>
  <c r="N103" i="21"/>
  <c r="O103" i="21"/>
  <c r="P14" i="24"/>
  <c r="J34" i="17"/>
  <c r="M105" i="24"/>
  <c r="I125" i="21"/>
  <c r="I124" i="21"/>
  <c r="J22" i="20"/>
  <c r="I25" i="20"/>
  <c r="I28" i="20"/>
  <c r="J136" i="20"/>
  <c r="J137" i="20"/>
  <c r="J141" i="20"/>
  <c r="I137" i="20"/>
  <c r="J47" i="23"/>
  <c r="J50" i="23"/>
  <c r="J49" i="23"/>
  <c r="J48" i="23"/>
  <c r="J62" i="23"/>
  <c r="J63" i="23"/>
  <c r="J61" i="23"/>
  <c r="M146" i="21"/>
  <c r="L137" i="22"/>
  <c r="J153" i="22"/>
  <c r="I155" i="22"/>
  <c r="J153" i="23"/>
  <c r="J155" i="23"/>
  <c r="I155" i="23"/>
  <c r="L44" i="23"/>
  <c r="J78" i="22"/>
  <c r="G142" i="20"/>
  <c r="G150" i="20"/>
  <c r="J113" i="20"/>
  <c r="K123" i="24"/>
  <c r="K126" i="24"/>
  <c r="K124" i="24"/>
  <c r="K125" i="24"/>
  <c r="H142" i="24"/>
  <c r="J122" i="21"/>
  <c r="J124" i="21"/>
  <c r="K121" i="21"/>
  <c r="H29" i="20"/>
  <c r="H28" i="20"/>
  <c r="K129" i="24"/>
  <c r="I25" i="22"/>
  <c r="I28" i="22"/>
  <c r="J22" i="22"/>
  <c r="H141" i="20"/>
  <c r="H139" i="20"/>
  <c r="H140" i="20"/>
  <c r="H138" i="20"/>
  <c r="J126" i="21"/>
  <c r="K49" i="23"/>
  <c r="K47" i="23"/>
  <c r="K63" i="23"/>
  <c r="N136" i="22"/>
  <c r="O136" i="22"/>
  <c r="O137" i="22"/>
  <c r="M137" i="22"/>
  <c r="K136" i="20"/>
  <c r="K22" i="20"/>
  <c r="L22" i="20"/>
  <c r="I29" i="22"/>
  <c r="I27" i="22"/>
  <c r="I26" i="22"/>
  <c r="I30" i="22"/>
  <c r="L121" i="21"/>
  <c r="K122" i="21"/>
  <c r="K124" i="21"/>
  <c r="K113" i="20"/>
  <c r="K153" i="22"/>
  <c r="K155" i="22"/>
  <c r="J155" i="22"/>
  <c r="O35" i="24"/>
  <c r="I139" i="20"/>
  <c r="I141" i="20"/>
  <c r="I140" i="20"/>
  <c r="I138" i="20"/>
  <c r="I29" i="20"/>
  <c r="I26" i="20"/>
  <c r="I27" i="20"/>
  <c r="N105" i="24"/>
  <c r="O105" i="24"/>
  <c r="P105" i="24"/>
  <c r="Q14" i="24"/>
  <c r="R14" i="24"/>
  <c r="K57" i="24"/>
  <c r="K59" i="24"/>
  <c r="J59" i="24"/>
  <c r="J51" i="23"/>
  <c r="K123" i="21"/>
  <c r="K126" i="21"/>
  <c r="K125" i="21"/>
  <c r="L153" i="21"/>
  <c r="J140" i="20"/>
  <c r="J138" i="20"/>
  <c r="J139" i="20"/>
  <c r="N137" i="22"/>
  <c r="N139" i="22"/>
  <c r="J60" i="24"/>
  <c r="P35" i="24"/>
  <c r="Q35" i="24"/>
  <c r="R35" i="24"/>
  <c r="S35" i="24"/>
  <c r="L153" i="22"/>
  <c r="M110" i="20"/>
  <c r="P103" i="21"/>
  <c r="Q103" i="21"/>
  <c r="R103" i="21"/>
  <c r="N101" i="20"/>
  <c r="O101" i="20"/>
  <c r="P101" i="20"/>
  <c r="M141" i="22"/>
  <c r="M139" i="22"/>
  <c r="M138" i="22"/>
  <c r="M140" i="22"/>
  <c r="L155" i="22"/>
  <c r="M22" i="20"/>
  <c r="K127" i="21"/>
  <c r="P89" i="22"/>
  <c r="Q89" i="22"/>
  <c r="R89" i="22"/>
  <c r="N22" i="20"/>
  <c r="O22" i="20"/>
  <c r="P22" i="20"/>
  <c r="Q22" i="20"/>
  <c r="R22" i="20"/>
  <c r="R25" i="20"/>
  <c r="R29" i="20"/>
  <c r="S89" i="22"/>
  <c r="S22" i="20"/>
  <c r="F60" i="17"/>
  <c r="F61" i="17"/>
  <c r="F63" i="17"/>
  <c r="F47" i="25"/>
  <c r="F48" i="25"/>
  <c r="F50" i="25"/>
  <c r="H62" i="1"/>
  <c r="F50" i="16"/>
  <c r="H45" i="25"/>
  <c r="H46" i="25"/>
  <c r="J122" i="10"/>
  <c r="K122" i="10"/>
  <c r="L122" i="10"/>
  <c r="H54" i="16"/>
  <c r="I40" i="16"/>
  <c r="N54" i="25"/>
  <c r="L69" i="25"/>
  <c r="I45" i="25"/>
  <c r="J45" i="25"/>
  <c r="J46" i="25"/>
  <c r="I62" i="1"/>
  <c r="J62" i="1"/>
  <c r="F51" i="25"/>
  <c r="H192" i="10"/>
  <c r="I46" i="25"/>
  <c r="I48" i="25"/>
  <c r="M49" i="10"/>
  <c r="G34" i="17"/>
  <c r="M156" i="10"/>
  <c r="Q105" i="24"/>
  <c r="R105" i="24"/>
  <c r="M66" i="23"/>
  <c r="M84" i="21"/>
  <c r="N17" i="20"/>
  <c r="O17" i="20"/>
  <c r="P17" i="20"/>
  <c r="Q17" i="20"/>
  <c r="R17" i="20"/>
  <c r="Q79" i="20"/>
  <c r="Q79" i="22"/>
  <c r="Q101" i="23"/>
  <c r="R101" i="23"/>
  <c r="S101" i="23"/>
  <c r="O140" i="22"/>
  <c r="O138" i="22"/>
  <c r="O139" i="22"/>
  <c r="O141" i="22"/>
  <c r="L79" i="23"/>
  <c r="N39" i="23"/>
  <c r="O39" i="23"/>
  <c r="Q16" i="20"/>
  <c r="R16" i="20"/>
  <c r="S16" i="20"/>
  <c r="N103" i="20"/>
  <c r="P16" i="21"/>
  <c r="Q16" i="21"/>
  <c r="Q99" i="20"/>
  <c r="R154" i="22"/>
  <c r="S154" i="22"/>
  <c r="P89" i="20"/>
  <c r="Q89" i="20"/>
  <c r="L65" i="24"/>
  <c r="L79" i="24"/>
  <c r="J140" i="22"/>
  <c r="J141" i="22"/>
  <c r="M146" i="22"/>
  <c r="L147" i="24"/>
  <c r="L35" i="23"/>
  <c r="K23" i="23"/>
  <c r="L23" i="23"/>
  <c r="R82" i="24"/>
  <c r="S82" i="24"/>
  <c r="I75" i="1"/>
  <c r="J75" i="1"/>
  <c r="F47" i="16"/>
  <c r="F48" i="16"/>
  <c r="K144" i="20"/>
  <c r="L144" i="21"/>
  <c r="R144" i="24"/>
  <c r="J126" i="24"/>
  <c r="J123" i="24"/>
  <c r="P147" i="23"/>
  <c r="Q147" i="23"/>
  <c r="R147" i="23"/>
  <c r="M146" i="20"/>
  <c r="N146" i="20"/>
  <c r="L33" i="22"/>
  <c r="M33" i="22"/>
  <c r="N33" i="22"/>
  <c r="O33" i="22"/>
  <c r="L84" i="22"/>
  <c r="O102" i="24"/>
  <c r="O112" i="24"/>
  <c r="J123" i="21"/>
  <c r="N22" i="23"/>
  <c r="L13" i="24"/>
  <c r="J136" i="23"/>
  <c r="I137" i="23"/>
  <c r="I99" i="23"/>
  <c r="H106" i="23"/>
  <c r="O90" i="25"/>
  <c r="S17" i="24"/>
  <c r="J97" i="17"/>
  <c r="J98" i="17"/>
  <c r="J107" i="17"/>
  <c r="H92" i="24"/>
  <c r="H52" i="24"/>
  <c r="H22" i="24"/>
  <c r="H92" i="22"/>
  <c r="H92" i="21"/>
  <c r="H212" i="10"/>
  <c r="I212" i="10"/>
  <c r="G137" i="25"/>
  <c r="G138" i="25"/>
  <c r="M157" i="10"/>
  <c r="I192" i="10"/>
  <c r="I52" i="24"/>
  <c r="H53" i="24"/>
  <c r="I140" i="23"/>
  <c r="I141" i="23"/>
  <c r="M13" i="24"/>
  <c r="J127" i="24"/>
  <c r="L144" i="20"/>
  <c r="M23" i="23"/>
  <c r="M35" i="23"/>
  <c r="J142" i="22"/>
  <c r="R99" i="20"/>
  <c r="O103" i="20"/>
  <c r="O142" i="22"/>
  <c r="Q101" i="20"/>
  <c r="R101" i="20"/>
  <c r="S101" i="20"/>
  <c r="R79" i="22"/>
  <c r="N84" i="21"/>
  <c r="O84" i="21"/>
  <c r="P84" i="21"/>
  <c r="Q84" i="21"/>
  <c r="R84" i="21"/>
  <c r="H17" i="10"/>
  <c r="H93" i="22"/>
  <c r="I92" i="21"/>
  <c r="I22" i="24"/>
  <c r="J22" i="24"/>
  <c r="H25" i="24"/>
  <c r="I92" i="24"/>
  <c r="J92" i="24"/>
  <c r="K92" i="24"/>
  <c r="L92" i="24"/>
  <c r="M92" i="24"/>
  <c r="N92" i="24"/>
  <c r="O92" i="24"/>
  <c r="P92" i="24"/>
  <c r="J99" i="23"/>
  <c r="I106" i="23"/>
  <c r="J137" i="23"/>
  <c r="K136" i="23"/>
  <c r="K137" i="23"/>
  <c r="O22" i="23"/>
  <c r="M84" i="22"/>
  <c r="N84" i="22"/>
  <c r="N146" i="22"/>
  <c r="M79" i="24"/>
  <c r="M65" i="24"/>
  <c r="M79" i="23"/>
  <c r="N79" i="23"/>
  <c r="O79" i="23"/>
  <c r="P79" i="23"/>
  <c r="Q79" i="23"/>
  <c r="R79" i="23"/>
  <c r="R79" i="20"/>
  <c r="N66" i="23"/>
  <c r="O66" i="23"/>
  <c r="P66" i="23"/>
  <c r="S144" i="24"/>
  <c r="S79" i="22"/>
  <c r="S17" i="20"/>
  <c r="S105" i="24"/>
  <c r="L136" i="23"/>
  <c r="K99" i="23"/>
  <c r="I25" i="24"/>
  <c r="I27" i="24"/>
  <c r="J92" i="21"/>
  <c r="N13" i="24"/>
  <c r="J52" i="24"/>
  <c r="I53" i="24"/>
  <c r="S79" i="20"/>
  <c r="R16" i="21"/>
  <c r="S16" i="21"/>
  <c r="N65" i="24"/>
  <c r="N79" i="24"/>
  <c r="O79" i="24"/>
  <c r="O146" i="22"/>
  <c r="P146" i="22"/>
  <c r="Q146" i="22"/>
  <c r="R146" i="22"/>
  <c r="J138" i="23"/>
  <c r="H27" i="24"/>
  <c r="H26" i="24"/>
  <c r="P103" i="20"/>
  <c r="M144" i="20"/>
  <c r="N144" i="20"/>
  <c r="O144" i="20"/>
  <c r="P144" i="20"/>
  <c r="Q144" i="20"/>
  <c r="L137" i="23"/>
  <c r="L139" i="23"/>
  <c r="Q103" i="20"/>
  <c r="R103" i="20"/>
  <c r="S103" i="20"/>
  <c r="O65" i="24"/>
  <c r="I26" i="24"/>
  <c r="P65" i="24"/>
  <c r="M16" i="10"/>
  <c r="R144" i="20"/>
  <c r="F111" i="25"/>
  <c r="F114" i="25"/>
  <c r="F66" i="25"/>
  <c r="G7" i="25"/>
  <c r="G7" i="17"/>
  <c r="G38" i="1"/>
  <c r="G7" i="16"/>
  <c r="G92" i="1"/>
  <c r="G31" i="25"/>
  <c r="H7" i="25"/>
  <c r="H31" i="25"/>
  <c r="I7" i="25"/>
  <c r="I31" i="25"/>
  <c r="F67" i="25"/>
  <c r="F65" i="25"/>
  <c r="F67" i="17"/>
  <c r="F133" i="16"/>
  <c r="H220" i="10"/>
  <c r="F16" i="16"/>
  <c r="F128" i="16"/>
  <c r="F129" i="16"/>
  <c r="F67" i="16"/>
  <c r="H96" i="10"/>
  <c r="I133" i="10"/>
  <c r="J133" i="10"/>
  <c r="K133" i="10"/>
  <c r="M40" i="25"/>
  <c r="M41" i="25"/>
  <c r="F68" i="25"/>
  <c r="G29" i="1"/>
  <c r="O84" i="22"/>
  <c r="P84" i="22"/>
  <c r="Q84" i="22"/>
  <c r="R84" i="22"/>
  <c r="S84" i="22"/>
  <c r="K138" i="23"/>
  <c r="K141" i="23"/>
  <c r="K140" i="23"/>
  <c r="K139" i="23"/>
  <c r="K105" i="23"/>
  <c r="L105" i="23"/>
  <c r="M105" i="23"/>
  <c r="N105" i="23"/>
  <c r="O105" i="23"/>
  <c r="P105" i="23"/>
  <c r="J106" i="23"/>
  <c r="J13" i="23"/>
  <c r="K13" i="23"/>
  <c r="L13" i="23"/>
  <c r="M13" i="23"/>
  <c r="N13" i="23"/>
  <c r="O13" i="23"/>
  <c r="P13" i="23"/>
  <c r="Q13" i="23"/>
  <c r="R13" i="23"/>
  <c r="S13" i="23"/>
  <c r="I38" i="20"/>
  <c r="J38" i="20"/>
  <c r="K38" i="20"/>
  <c r="L38" i="20"/>
  <c r="M38" i="20"/>
  <c r="N38" i="20"/>
  <c r="O38" i="20"/>
  <c r="P38" i="20"/>
  <c r="Q38" i="20"/>
  <c r="R38" i="20"/>
  <c r="S38" i="20"/>
  <c r="P79" i="24"/>
  <c r="Q79" i="24"/>
  <c r="R79" i="24"/>
  <c r="S79" i="24"/>
  <c r="N17" i="21"/>
  <c r="O17" i="21"/>
  <c r="P17" i="21"/>
  <c r="Q17" i="21"/>
  <c r="R17" i="21"/>
  <c r="S17" i="21"/>
  <c r="J39" i="21"/>
  <c r="K39" i="21"/>
  <c r="L39" i="21"/>
  <c r="M39" i="21"/>
  <c r="N39" i="21"/>
  <c r="O39" i="21"/>
  <c r="P39" i="21"/>
  <c r="Q39" i="21"/>
  <c r="S39" i="21"/>
  <c r="S79" i="23"/>
  <c r="O94" i="25"/>
  <c r="M142" i="22"/>
  <c r="L57" i="24"/>
  <c r="I142" i="20"/>
  <c r="K127" i="24"/>
  <c r="O40" i="25"/>
  <c r="O30" i="25"/>
  <c r="O41" i="25"/>
  <c r="H68" i="15"/>
  <c r="H64" i="15"/>
  <c r="H18" i="15"/>
  <c r="F106" i="16"/>
  <c r="H86" i="16"/>
  <c r="I46" i="16"/>
  <c r="I54" i="16"/>
  <c r="H26" i="16"/>
  <c r="I26" i="16"/>
  <c r="J123" i="17"/>
  <c r="H97" i="17"/>
  <c r="G93" i="22"/>
  <c r="G25" i="21"/>
  <c r="F17" i="25"/>
  <c r="O156" i="25"/>
  <c r="O64" i="25"/>
  <c r="O69" i="25"/>
  <c r="I136" i="10"/>
  <c r="J136" i="10"/>
  <c r="G13" i="25"/>
  <c r="S34" i="21"/>
  <c r="H142" i="23"/>
  <c r="H150" i="23"/>
  <c r="G141" i="24"/>
  <c r="G139" i="24"/>
  <c r="G140" i="24"/>
  <c r="G138" i="24"/>
  <c r="L133" i="22"/>
  <c r="M133" i="22"/>
  <c r="N133" i="22"/>
  <c r="O133" i="22"/>
  <c r="P133" i="22"/>
  <c r="Q133" i="22"/>
  <c r="G96" i="22"/>
  <c r="G95" i="22"/>
  <c r="F51" i="16"/>
  <c r="R28" i="20"/>
  <c r="S82" i="21"/>
  <c r="J142" i="20"/>
  <c r="J125" i="21"/>
  <c r="J127" i="21"/>
  <c r="H142" i="20"/>
  <c r="F69" i="1"/>
  <c r="H30" i="21"/>
  <c r="S89" i="23"/>
  <c r="G142" i="21"/>
  <c r="G150" i="21"/>
  <c r="I127" i="20"/>
  <c r="H127" i="23"/>
  <c r="H130" i="23"/>
  <c r="H127" i="24"/>
  <c r="I101" i="24"/>
  <c r="H106" i="24"/>
  <c r="G63" i="24"/>
  <c r="G62" i="24"/>
  <c r="G64" i="24"/>
  <c r="G69" i="24"/>
  <c r="G47" i="24"/>
  <c r="M112" i="23"/>
  <c r="N112" i="23"/>
  <c r="O112" i="23"/>
  <c r="P112" i="23"/>
  <c r="Q112" i="23"/>
  <c r="R112" i="23"/>
  <c r="I84" i="23"/>
  <c r="J84" i="23"/>
  <c r="K84" i="23"/>
  <c r="L84" i="23"/>
  <c r="M84" i="23"/>
  <c r="N84" i="23"/>
  <c r="O84" i="23"/>
  <c r="P84" i="23"/>
  <c r="Q84" i="23"/>
  <c r="R84" i="23"/>
  <c r="I33" i="23"/>
  <c r="H40" i="23"/>
  <c r="J128" i="23"/>
  <c r="I129" i="23"/>
  <c r="I13" i="22"/>
  <c r="H18" i="22"/>
  <c r="L112" i="22"/>
  <c r="M112" i="22"/>
  <c r="N112" i="22"/>
  <c r="O112" i="22"/>
  <c r="P112" i="22"/>
  <c r="Q112" i="22"/>
  <c r="R112" i="22"/>
  <c r="K39" i="22"/>
  <c r="L39" i="22"/>
  <c r="M39" i="22"/>
  <c r="N39" i="22"/>
  <c r="O39" i="22"/>
  <c r="P39" i="22"/>
  <c r="Q39" i="22"/>
  <c r="H130" i="15"/>
  <c r="H113" i="15"/>
  <c r="H46" i="15"/>
  <c r="G54" i="15"/>
  <c r="J127" i="17"/>
  <c r="J130" i="17"/>
  <c r="H129" i="24"/>
  <c r="H130" i="24"/>
  <c r="S32" i="23"/>
  <c r="G137" i="22"/>
  <c r="G141" i="22"/>
  <c r="G106" i="22"/>
  <c r="G127" i="20"/>
  <c r="G130" i="20"/>
  <c r="H59" i="15"/>
  <c r="I142" i="16"/>
  <c r="I150" i="16"/>
  <c r="I25" i="16"/>
  <c r="I117" i="16"/>
  <c r="I118" i="16"/>
  <c r="I149" i="23"/>
  <c r="G18" i="24"/>
  <c r="N69" i="25"/>
  <c r="O46" i="25"/>
  <c r="O54" i="25"/>
  <c r="L108" i="25"/>
  <c r="I150" i="10"/>
  <c r="M150" i="10"/>
  <c r="I59" i="25"/>
  <c r="I63" i="25"/>
  <c r="J58" i="25"/>
  <c r="J59" i="25"/>
  <c r="F63" i="25"/>
  <c r="F60" i="25"/>
  <c r="F61" i="25"/>
  <c r="F64" i="17"/>
  <c r="G64" i="1"/>
  <c r="G59" i="25"/>
  <c r="G46" i="25"/>
  <c r="Q92" i="24"/>
  <c r="R92" i="24"/>
  <c r="S92" i="24"/>
  <c r="M136" i="23"/>
  <c r="J140" i="23"/>
  <c r="J139" i="23"/>
  <c r="J141" i="23"/>
  <c r="J142" i="23"/>
  <c r="J34" i="25"/>
  <c r="H96" i="22"/>
  <c r="H97" i="22"/>
  <c r="H95" i="22"/>
  <c r="I92" i="22"/>
  <c r="M147" i="24"/>
  <c r="N147" i="24"/>
  <c r="O147" i="24"/>
  <c r="P147" i="24"/>
  <c r="Q147" i="24"/>
  <c r="R147" i="24"/>
  <c r="R89" i="20"/>
  <c r="P39" i="23"/>
  <c r="Q39" i="23"/>
  <c r="N110" i="20"/>
  <c r="M113" i="20"/>
  <c r="L122" i="21"/>
  <c r="M121" i="21"/>
  <c r="O147" i="20"/>
  <c r="P147" i="20"/>
  <c r="Q147" i="20"/>
  <c r="R147" i="20"/>
  <c r="H26" i="22"/>
  <c r="H28" i="22"/>
  <c r="H27" i="22"/>
  <c r="H29" i="22"/>
  <c r="F143" i="25"/>
  <c r="F151" i="25"/>
  <c r="H154" i="21"/>
  <c r="G155" i="21"/>
  <c r="P112" i="21"/>
  <c r="Q112" i="21"/>
  <c r="R112" i="21"/>
  <c r="P111" i="21"/>
  <c r="Q111" i="21"/>
  <c r="R111" i="21"/>
  <c r="J110" i="21"/>
  <c r="I113" i="21"/>
  <c r="P33" i="22"/>
  <c r="Q65" i="24"/>
  <c r="H94" i="22"/>
  <c r="K92" i="21"/>
  <c r="L92" i="21"/>
  <c r="M92" i="21"/>
  <c r="N92" i="21"/>
  <c r="O92" i="21"/>
  <c r="P92" i="21"/>
  <c r="Q92" i="21"/>
  <c r="R92" i="21"/>
  <c r="P22" i="23"/>
  <c r="H137" i="25"/>
  <c r="O146" i="20"/>
  <c r="P146" i="20"/>
  <c r="Q146" i="20"/>
  <c r="R146" i="20"/>
  <c r="S147" i="23"/>
  <c r="M144" i="21"/>
  <c r="N144" i="21"/>
  <c r="O144" i="21"/>
  <c r="P144" i="21"/>
  <c r="Q144" i="21"/>
  <c r="R144" i="21"/>
  <c r="S33" i="24"/>
  <c r="S84" i="21"/>
  <c r="P100" i="22"/>
  <c r="Q100" i="22"/>
  <c r="R100" i="22"/>
  <c r="S100" i="22"/>
  <c r="L141" i="23"/>
  <c r="L140" i="23"/>
  <c r="L138" i="23"/>
  <c r="L99" i="23"/>
  <c r="K106" i="23"/>
  <c r="N23" i="23"/>
  <c r="P102" i="24"/>
  <c r="Q102" i="24"/>
  <c r="R102" i="24"/>
  <c r="M38" i="23"/>
  <c r="N38" i="23"/>
  <c r="O38" i="23"/>
  <c r="P38" i="23"/>
  <c r="Q38" i="23"/>
  <c r="R38" i="23"/>
  <c r="O104" i="22"/>
  <c r="P104" i="22"/>
  <c r="Q104" i="22"/>
  <c r="R104" i="22"/>
  <c r="Q105" i="23"/>
  <c r="R105" i="23"/>
  <c r="J123" i="20"/>
  <c r="J126" i="20"/>
  <c r="J124" i="20"/>
  <c r="J125" i="20"/>
  <c r="I122" i="22"/>
  <c r="J121" i="22"/>
  <c r="M17" i="22"/>
  <c r="N17" i="22"/>
  <c r="O17" i="22"/>
  <c r="P17" i="22"/>
  <c r="Q17" i="22"/>
  <c r="R17" i="22"/>
  <c r="S17" i="22"/>
  <c r="I65" i="23"/>
  <c r="H68" i="23"/>
  <c r="J136" i="24"/>
  <c r="I137" i="24"/>
  <c r="G18" i="21"/>
  <c r="H13" i="21"/>
  <c r="Q133" i="21"/>
  <c r="S133" i="21"/>
  <c r="K105" i="21"/>
  <c r="L105" i="21"/>
  <c r="M105" i="21"/>
  <c r="N105" i="21"/>
  <c r="O105" i="21"/>
  <c r="P105" i="21"/>
  <c r="Q105" i="21"/>
  <c r="R105" i="21"/>
  <c r="J104" i="20"/>
  <c r="K104" i="20"/>
  <c r="L104" i="20"/>
  <c r="M104" i="20"/>
  <c r="N104" i="20"/>
  <c r="O104" i="20"/>
  <c r="P104" i="20"/>
  <c r="Q104" i="20"/>
  <c r="R104" i="20"/>
  <c r="H100" i="20"/>
  <c r="G106" i="20"/>
  <c r="G107" i="20"/>
  <c r="S144" i="20"/>
  <c r="Q66" i="23"/>
  <c r="R66" i="23"/>
  <c r="S33" i="21"/>
  <c r="J25" i="24"/>
  <c r="K22" i="24"/>
  <c r="H135" i="10"/>
  <c r="K60" i="24"/>
  <c r="R110" i="23"/>
  <c r="S110" i="23"/>
  <c r="O13" i="24"/>
  <c r="I28" i="24"/>
  <c r="I29" i="24"/>
  <c r="I30" i="24"/>
  <c r="S146" i="22"/>
  <c r="I138" i="23"/>
  <c r="I139" i="23"/>
  <c r="N146" i="21"/>
  <c r="O146" i="21"/>
  <c r="P146" i="21"/>
  <c r="Q146" i="21"/>
  <c r="R146" i="21"/>
  <c r="L122" i="23"/>
  <c r="M121" i="23"/>
  <c r="L143" i="23"/>
  <c r="K52" i="24"/>
  <c r="J53" i="24"/>
  <c r="H28" i="24"/>
  <c r="H29" i="24"/>
  <c r="N35" i="23"/>
  <c r="O35" i="23"/>
  <c r="P35" i="23"/>
  <c r="Q35" i="23"/>
  <c r="R35" i="23"/>
  <c r="J130" i="24"/>
  <c r="P112" i="24"/>
  <c r="Q112" i="24"/>
  <c r="R112" i="24"/>
  <c r="S99" i="20"/>
  <c r="K160" i="25"/>
  <c r="K162" i="25"/>
  <c r="N140" i="22"/>
  <c r="N141" i="22"/>
  <c r="N138" i="22"/>
  <c r="L136" i="20"/>
  <c r="K137" i="20"/>
  <c r="K78" i="22"/>
  <c r="M143" i="20"/>
  <c r="I34" i="25"/>
  <c r="S103" i="24"/>
  <c r="O38" i="21"/>
  <c r="P38" i="21"/>
  <c r="Q38" i="21"/>
  <c r="R38" i="21"/>
  <c r="I47" i="25"/>
  <c r="I50" i="25"/>
  <c r="J25" i="22"/>
  <c r="K22" i="22"/>
  <c r="M31" i="20"/>
  <c r="O84" i="24"/>
  <c r="P84" i="24"/>
  <c r="Q84" i="24"/>
  <c r="R84" i="24"/>
  <c r="I145" i="20"/>
  <c r="H149" i="20"/>
  <c r="H150" i="20"/>
  <c r="H94" i="20"/>
  <c r="H96" i="20"/>
  <c r="H97" i="20"/>
  <c r="H95" i="20"/>
  <c r="L16" i="23"/>
  <c r="M16" i="23"/>
  <c r="N16" i="23"/>
  <c r="O16" i="23"/>
  <c r="P16" i="23"/>
  <c r="Q16" i="23"/>
  <c r="R16" i="23"/>
  <c r="M133" i="23"/>
  <c r="N133" i="23"/>
  <c r="O133" i="23"/>
  <c r="P133" i="23"/>
  <c r="Q133" i="23"/>
  <c r="S133" i="23"/>
  <c r="S103" i="21"/>
  <c r="L138" i="22"/>
  <c r="L141" i="22"/>
  <c r="L139" i="22"/>
  <c r="L140" i="22"/>
  <c r="K34" i="23"/>
  <c r="L34" i="23"/>
  <c r="M34" i="23"/>
  <c r="N34" i="23"/>
  <c r="O34" i="23"/>
  <c r="P34" i="23"/>
  <c r="Q34" i="23"/>
  <c r="R34" i="23"/>
  <c r="I140" i="21"/>
  <c r="I141" i="21"/>
  <c r="I139" i="21"/>
  <c r="Q67" i="24"/>
  <c r="R67" i="24"/>
  <c r="P136" i="22"/>
  <c r="M153" i="22"/>
  <c r="M153" i="21"/>
  <c r="K153" i="23"/>
  <c r="M44" i="23"/>
  <c r="L46" i="23"/>
  <c r="K62" i="23"/>
  <c r="K50" i="23"/>
  <c r="K61" i="23"/>
  <c r="K48" i="23"/>
  <c r="K51" i="23"/>
  <c r="J99" i="22"/>
  <c r="L31" i="21"/>
  <c r="J128" i="21"/>
  <c r="I129" i="21"/>
  <c r="I49" i="23"/>
  <c r="I48" i="23"/>
  <c r="I62" i="23"/>
  <c r="I47" i="23"/>
  <c r="I61" i="23"/>
  <c r="I60" i="25"/>
  <c r="I61" i="25"/>
  <c r="L110" i="22"/>
  <c r="K16" i="24"/>
  <c r="L16" i="24"/>
  <c r="J18" i="24"/>
  <c r="I78" i="24"/>
  <c r="H86" i="24"/>
  <c r="L31" i="24"/>
  <c r="H110" i="24"/>
  <c r="G113" i="24"/>
  <c r="J101" i="24"/>
  <c r="K101" i="24"/>
  <c r="L101" i="24"/>
  <c r="M101" i="24"/>
  <c r="N101" i="24"/>
  <c r="O101" i="24"/>
  <c r="P101" i="24"/>
  <c r="Q101" i="24"/>
  <c r="R101" i="24"/>
  <c r="I106" i="24"/>
  <c r="R26" i="20"/>
  <c r="R27" i="20"/>
  <c r="S14" i="24"/>
  <c r="K130" i="24"/>
  <c r="L85" i="20"/>
  <c r="M14" i="20"/>
  <c r="L146" i="24"/>
  <c r="M146" i="24"/>
  <c r="N146" i="24"/>
  <c r="O146" i="24"/>
  <c r="P146" i="24"/>
  <c r="Q146" i="24"/>
  <c r="R146" i="24"/>
  <c r="M121" i="24"/>
  <c r="L122" i="24"/>
  <c r="L129" i="24"/>
  <c r="M128" i="24"/>
  <c r="L143" i="21"/>
  <c r="K149" i="21"/>
  <c r="Q23" i="20"/>
  <c r="S23" i="20"/>
  <c r="K99" i="21"/>
  <c r="K78" i="21"/>
  <c r="I66" i="24"/>
  <c r="H68" i="24"/>
  <c r="G155" i="24"/>
  <c r="H154" i="24"/>
  <c r="I154" i="24"/>
  <c r="J154" i="24"/>
  <c r="K154" i="24"/>
  <c r="L154" i="24"/>
  <c r="M154" i="24"/>
  <c r="N154" i="24"/>
  <c r="O154" i="24"/>
  <c r="P154" i="24"/>
  <c r="Q154" i="24"/>
  <c r="R154" i="24"/>
  <c r="L111" i="24"/>
  <c r="M111" i="24"/>
  <c r="N111" i="24"/>
  <c r="O111" i="24"/>
  <c r="P111" i="24"/>
  <c r="Q111" i="24"/>
  <c r="R111" i="24"/>
  <c r="K100" i="24"/>
  <c r="L100" i="24"/>
  <c r="M100" i="24"/>
  <c r="N100" i="24"/>
  <c r="O100" i="24"/>
  <c r="P100" i="24"/>
  <c r="Q100" i="24"/>
  <c r="R100" i="24"/>
  <c r="K142" i="22"/>
  <c r="H127" i="22"/>
  <c r="H130" i="22"/>
  <c r="H26" i="20"/>
  <c r="H27" i="20"/>
  <c r="H124" i="21"/>
  <c r="H126" i="21"/>
  <c r="M153" i="20"/>
  <c r="J126" i="23"/>
  <c r="J124" i="23"/>
  <c r="J123" i="23"/>
  <c r="J129" i="22"/>
  <c r="K128" i="22"/>
  <c r="I84" i="20"/>
  <c r="H86" i="20"/>
  <c r="R105" i="20"/>
  <c r="S105" i="20"/>
  <c r="G26" i="23"/>
  <c r="G27" i="23"/>
  <c r="F109" i="1"/>
  <c r="G107" i="1"/>
  <c r="G71" i="1"/>
  <c r="F77" i="1"/>
  <c r="F78" i="1"/>
  <c r="G40" i="15"/>
  <c r="H31" i="15"/>
  <c r="F33" i="17"/>
  <c r="H33" i="15"/>
  <c r="G126" i="21"/>
  <c r="G123" i="21"/>
  <c r="G124" i="21"/>
  <c r="G125" i="21"/>
  <c r="H82" i="23"/>
  <c r="G86" i="23"/>
  <c r="J33" i="23"/>
  <c r="I40" i="23"/>
  <c r="Q36" i="23"/>
  <c r="R36" i="23"/>
  <c r="J105" i="22"/>
  <c r="K105" i="22"/>
  <c r="L105" i="22"/>
  <c r="M105" i="22"/>
  <c r="N105" i="22"/>
  <c r="O105" i="22"/>
  <c r="P105" i="22"/>
  <c r="Q105" i="22"/>
  <c r="R105" i="22"/>
  <c r="I30" i="20"/>
  <c r="I123" i="21"/>
  <c r="I126" i="21"/>
  <c r="G124" i="25"/>
  <c r="G26" i="22"/>
  <c r="G27" i="22"/>
  <c r="J78" i="23"/>
  <c r="G29" i="20"/>
  <c r="G28" i="20"/>
  <c r="K18" i="24"/>
  <c r="H140" i="21"/>
  <c r="H141" i="21"/>
  <c r="H139" i="21"/>
  <c r="N14" i="22"/>
  <c r="O14" i="22"/>
  <c r="P14" i="22"/>
  <c r="Q14" i="22"/>
  <c r="R14" i="22"/>
  <c r="Q146" i="23"/>
  <c r="R146" i="23"/>
  <c r="S146" i="23"/>
  <c r="H64" i="25"/>
  <c r="I127" i="17"/>
  <c r="I130" i="17"/>
  <c r="I18" i="23"/>
  <c r="J15" i="23"/>
  <c r="O133" i="20"/>
  <c r="P133" i="20"/>
  <c r="Q133" i="20"/>
  <c r="H69" i="15"/>
  <c r="H106" i="16"/>
  <c r="I105" i="16"/>
  <c r="I106" i="16"/>
  <c r="I150" i="17"/>
  <c r="L144" i="22"/>
  <c r="G125" i="23"/>
  <c r="G123" i="23"/>
  <c r="G124" i="23"/>
  <c r="G126" i="23"/>
  <c r="M22" i="21"/>
  <c r="I126" i="24"/>
  <c r="I124" i="24"/>
  <c r="H142" i="22"/>
  <c r="K136" i="21"/>
  <c r="J137" i="21"/>
  <c r="H85" i="21"/>
  <c r="I14" i="21"/>
  <c r="F126" i="16"/>
  <c r="F123" i="16"/>
  <c r="F124" i="16"/>
  <c r="H94" i="16"/>
  <c r="H117" i="16"/>
  <c r="H118" i="16"/>
  <c r="K133" i="24"/>
  <c r="L133" i="24"/>
  <c r="M133" i="24"/>
  <c r="N133" i="24"/>
  <c r="O133" i="24"/>
  <c r="P133" i="24"/>
  <c r="Q133" i="24"/>
  <c r="I39" i="24"/>
  <c r="H40" i="24"/>
  <c r="K34" i="24"/>
  <c r="G86" i="24"/>
  <c r="G28" i="24"/>
  <c r="G29" i="24"/>
  <c r="G26" i="24"/>
  <c r="G27" i="24"/>
  <c r="G62" i="23"/>
  <c r="G50" i="23"/>
  <c r="G48" i="23"/>
  <c r="G47" i="23"/>
  <c r="G63" i="23"/>
  <c r="G49" i="23"/>
  <c r="H111" i="23"/>
  <c r="G113" i="23"/>
  <c r="H92" i="23"/>
  <c r="H93" i="23"/>
  <c r="G93" i="23"/>
  <c r="K16" i="22"/>
  <c r="I101" i="22"/>
  <c r="J101" i="22"/>
  <c r="K101" i="22"/>
  <c r="L101" i="22"/>
  <c r="M101" i="22"/>
  <c r="N101" i="22"/>
  <c r="O101" i="22"/>
  <c r="P101" i="22"/>
  <c r="Q101" i="22"/>
  <c r="R101" i="22"/>
  <c r="S101" i="22"/>
  <c r="O24" i="22"/>
  <c r="P24" i="22"/>
  <c r="Q24" i="22"/>
  <c r="S24" i="22"/>
  <c r="K125" i="23"/>
  <c r="K126" i="23"/>
  <c r="K124" i="23"/>
  <c r="I125" i="23"/>
  <c r="I126" i="23"/>
  <c r="S31" i="23"/>
  <c r="H29" i="23"/>
  <c r="H28" i="23"/>
  <c r="S143" i="22"/>
  <c r="K99" i="24"/>
  <c r="J106" i="24"/>
  <c r="H48" i="23"/>
  <c r="H61" i="23"/>
  <c r="H47" i="23"/>
  <c r="H51" i="23"/>
  <c r="H62" i="23"/>
  <c r="I145" i="22"/>
  <c r="H149" i="22"/>
  <c r="I27" i="16"/>
  <c r="H30" i="16"/>
  <c r="H41" i="16"/>
  <c r="H157" i="16"/>
  <c r="G150" i="17"/>
  <c r="N100" i="23"/>
  <c r="O100" i="23"/>
  <c r="P100" i="23"/>
  <c r="Q100" i="23"/>
  <c r="R100" i="23"/>
  <c r="G139" i="22"/>
  <c r="G140" i="22"/>
  <c r="G138" i="22"/>
  <c r="H82" i="22"/>
  <c r="G13" i="1"/>
  <c r="G101" i="1"/>
  <c r="G10" i="1"/>
  <c r="G25" i="15"/>
  <c r="H23" i="15"/>
  <c r="H25" i="15"/>
  <c r="H130" i="16"/>
  <c r="I30" i="16"/>
  <c r="I41" i="16"/>
  <c r="J117" i="17"/>
  <c r="G94" i="17"/>
  <c r="G97" i="17"/>
  <c r="F117" i="17"/>
  <c r="F118" i="17"/>
  <c r="F29" i="17"/>
  <c r="F26" i="17"/>
  <c r="R125" i="22"/>
  <c r="R123" i="22"/>
  <c r="S37" i="24"/>
  <c r="G59" i="23"/>
  <c r="H57" i="23"/>
  <c r="P103" i="23"/>
  <c r="Q103" i="23"/>
  <c r="R103" i="23"/>
  <c r="L102" i="23"/>
  <c r="M102" i="23"/>
  <c r="N102" i="23"/>
  <c r="O102" i="23"/>
  <c r="P102" i="23"/>
  <c r="Q102" i="23"/>
  <c r="R102" i="23"/>
  <c r="I23" i="21"/>
  <c r="J92" i="20"/>
  <c r="I93" i="20"/>
  <c r="J24" i="20"/>
  <c r="P148" i="23"/>
  <c r="Q148" i="23"/>
  <c r="R148" i="23"/>
  <c r="J148" i="24"/>
  <c r="K148" i="24"/>
  <c r="L148" i="24"/>
  <c r="M148" i="24"/>
  <c r="N148" i="24"/>
  <c r="O148" i="24"/>
  <c r="P148" i="24"/>
  <c r="Q148" i="24"/>
  <c r="R148" i="24"/>
  <c r="H143" i="24"/>
  <c r="G149" i="24"/>
  <c r="G75" i="15"/>
  <c r="G26" i="15"/>
  <c r="G27" i="15"/>
  <c r="G29" i="15"/>
  <c r="G30" i="15"/>
  <c r="G41" i="15"/>
  <c r="G93" i="15"/>
  <c r="G94" i="15"/>
  <c r="G95" i="15"/>
  <c r="G97" i="15"/>
  <c r="G98" i="15"/>
  <c r="G107" i="15"/>
  <c r="G117" i="15"/>
  <c r="G118" i="15"/>
  <c r="G157" i="15"/>
  <c r="I30" i="17"/>
  <c r="F104" i="1"/>
  <c r="I130" i="16"/>
  <c r="G127" i="17"/>
  <c r="G130" i="17"/>
  <c r="N37" i="23"/>
  <c r="O37" i="23"/>
  <c r="P37" i="23"/>
  <c r="Q37" i="23"/>
  <c r="R37" i="23"/>
  <c r="L101" i="21"/>
  <c r="M101" i="21"/>
  <c r="N101" i="21"/>
  <c r="O101" i="21"/>
  <c r="P101" i="21"/>
  <c r="Q101" i="21"/>
  <c r="R101" i="21"/>
  <c r="H142" i="15"/>
  <c r="H150" i="15"/>
  <c r="H89" i="15"/>
  <c r="H93" i="15"/>
  <c r="G26" i="17"/>
  <c r="G117" i="17"/>
  <c r="F97" i="17"/>
  <c r="F94" i="17"/>
  <c r="R125" i="21"/>
  <c r="R126" i="21"/>
  <c r="G48" i="24"/>
  <c r="G49" i="24"/>
  <c r="K67" i="23"/>
  <c r="L67" i="23"/>
  <c r="M67" i="23"/>
  <c r="N67" i="23"/>
  <c r="O67" i="23"/>
  <c r="P67" i="23"/>
  <c r="Q67" i="23"/>
  <c r="R67" i="23"/>
  <c r="I24" i="23"/>
  <c r="I111" i="22"/>
  <c r="H113" i="22"/>
  <c r="I100" i="21"/>
  <c r="I154" i="20"/>
  <c r="H35" i="20"/>
  <c r="I35" i="20"/>
  <c r="J35" i="20"/>
  <c r="K35" i="20"/>
  <c r="L35" i="20"/>
  <c r="M35" i="20"/>
  <c r="N35" i="20"/>
  <c r="O35" i="20"/>
  <c r="P35" i="20"/>
  <c r="Q35" i="20"/>
  <c r="R35" i="20"/>
  <c r="L121" i="20"/>
  <c r="K122" i="20"/>
  <c r="F142" i="16"/>
  <c r="F150" i="16"/>
  <c r="G18" i="15"/>
  <c r="I68" i="16"/>
  <c r="I64" i="16"/>
  <c r="I14" i="16"/>
  <c r="I18" i="16"/>
  <c r="H18" i="16"/>
  <c r="H98" i="17"/>
  <c r="H107" i="17"/>
  <c r="G29" i="17"/>
  <c r="J144" i="23"/>
  <c r="H46" i="24"/>
  <c r="I44" i="24"/>
  <c r="S23" i="24"/>
  <c r="I153" i="24"/>
  <c r="H155" i="24"/>
  <c r="G93" i="24"/>
  <c r="H89" i="24"/>
  <c r="G53" i="23"/>
  <c r="H52" i="23"/>
  <c r="I103" i="22"/>
  <c r="J103" i="22"/>
  <c r="K103" i="22"/>
  <c r="L103" i="22"/>
  <c r="M103" i="22"/>
  <c r="N103" i="22"/>
  <c r="O103" i="22"/>
  <c r="P103" i="22"/>
  <c r="Q103" i="22"/>
  <c r="R103" i="22"/>
  <c r="H102" i="22"/>
  <c r="K38" i="22"/>
  <c r="L38" i="22"/>
  <c r="M38" i="22"/>
  <c r="N38" i="22"/>
  <c r="O38" i="22"/>
  <c r="P38" i="22"/>
  <c r="Q38" i="22"/>
  <c r="R38" i="22"/>
  <c r="I129" i="20"/>
  <c r="I130" i="20"/>
  <c r="J128" i="20"/>
  <c r="J17" i="23"/>
  <c r="K17" i="23"/>
  <c r="L17" i="23"/>
  <c r="M17" i="23"/>
  <c r="N17" i="23"/>
  <c r="O17" i="23"/>
  <c r="P17" i="23"/>
  <c r="Q17" i="23"/>
  <c r="R17" i="23"/>
  <c r="S104" i="23"/>
  <c r="J102" i="21"/>
  <c r="K102" i="21"/>
  <c r="L102" i="21"/>
  <c r="M102" i="21"/>
  <c r="N102" i="21"/>
  <c r="O102" i="21"/>
  <c r="P102" i="21"/>
  <c r="Q102" i="21"/>
  <c r="R102" i="21"/>
  <c r="H89" i="21"/>
  <c r="G93" i="21"/>
  <c r="H126" i="20"/>
  <c r="H123" i="20"/>
  <c r="H124" i="20"/>
  <c r="L148" i="20"/>
  <c r="M148" i="20"/>
  <c r="N148" i="20"/>
  <c r="O148" i="20"/>
  <c r="P148" i="20"/>
  <c r="Q148" i="20"/>
  <c r="R148" i="20"/>
  <c r="G138" i="23"/>
  <c r="E24" i="23"/>
  <c r="H24" i="25"/>
  <c r="H51" i="15"/>
  <c r="H54" i="15"/>
  <c r="I59" i="16"/>
  <c r="I94" i="17"/>
  <c r="I98" i="17"/>
  <c r="I107" i="17"/>
  <c r="I117" i="17"/>
  <c r="G126" i="22"/>
  <c r="G125" i="22"/>
  <c r="S36" i="24"/>
  <c r="J34" i="22"/>
  <c r="M79" i="21"/>
  <c r="N79" i="21"/>
  <c r="O79" i="21"/>
  <c r="P79" i="21"/>
  <c r="Q79" i="21"/>
  <c r="R79" i="21"/>
  <c r="P39" i="20"/>
  <c r="Q39" i="20"/>
  <c r="H33" i="20"/>
  <c r="G40" i="20"/>
  <c r="R32" i="22"/>
  <c r="L32" i="22"/>
  <c r="M107" i="25"/>
  <c r="N103" i="25"/>
  <c r="G18" i="20"/>
  <c r="H13" i="20"/>
  <c r="F18" i="25"/>
  <c r="F79" i="25"/>
  <c r="F85" i="25"/>
  <c r="F117" i="25"/>
  <c r="H100" i="10"/>
  <c r="H98" i="10"/>
  <c r="G137" i="10"/>
  <c r="G141" i="10"/>
  <c r="G38" i="10"/>
  <c r="G40" i="10"/>
  <c r="G66" i="17"/>
  <c r="G67" i="17"/>
  <c r="G65" i="17"/>
  <c r="I14" i="10"/>
  <c r="M14" i="10"/>
  <c r="I83" i="10"/>
  <c r="G102" i="1"/>
  <c r="H102" i="1"/>
  <c r="G26" i="1"/>
  <c r="G129" i="25"/>
  <c r="G130" i="25"/>
  <c r="G17" i="25"/>
  <c r="G134" i="25"/>
  <c r="G148" i="25"/>
  <c r="G65" i="25"/>
  <c r="G111" i="25"/>
  <c r="G114" i="25"/>
  <c r="G67" i="25"/>
  <c r="G16" i="25"/>
  <c r="G66" i="25"/>
  <c r="G147" i="25"/>
  <c r="G150" i="25"/>
  <c r="G33" i="25"/>
  <c r="G85" i="25"/>
  <c r="G22" i="25"/>
  <c r="G25" i="25"/>
  <c r="G26" i="21"/>
  <c r="G27" i="21"/>
  <c r="G29" i="21"/>
  <c r="G28" i="21"/>
  <c r="M57" i="24"/>
  <c r="L59" i="24"/>
  <c r="L60" i="24"/>
  <c r="S39" i="20"/>
  <c r="S79" i="21"/>
  <c r="S102" i="21"/>
  <c r="S67" i="23"/>
  <c r="R127" i="21"/>
  <c r="R130" i="21"/>
  <c r="F98" i="17"/>
  <c r="F107" i="17"/>
  <c r="S102" i="23"/>
  <c r="S103" i="23"/>
  <c r="S14" i="22"/>
  <c r="J127" i="23"/>
  <c r="S100" i="24"/>
  <c r="S111" i="24"/>
  <c r="S154" i="24"/>
  <c r="S101" i="24"/>
  <c r="N142" i="22"/>
  <c r="S66" i="23"/>
  <c r="S105" i="23"/>
  <c r="S104" i="22"/>
  <c r="S146" i="20"/>
  <c r="S92" i="21"/>
  <c r="S147" i="20"/>
  <c r="S147" i="24"/>
  <c r="F64" i="25"/>
  <c r="F69" i="25"/>
  <c r="S112" i="23"/>
  <c r="S133" i="22"/>
  <c r="G142" i="24"/>
  <c r="G150" i="24"/>
  <c r="G94" i="22"/>
  <c r="G97" i="22"/>
  <c r="G98" i="22"/>
  <c r="G107" i="22"/>
  <c r="K142" i="23"/>
  <c r="S111" i="21"/>
  <c r="S112" i="21"/>
  <c r="S39" i="23"/>
  <c r="I34" i="10"/>
  <c r="G23" i="1"/>
  <c r="G28" i="25"/>
  <c r="G81" i="1"/>
  <c r="G46" i="1"/>
  <c r="I41" i="10"/>
  <c r="G52" i="25"/>
  <c r="G53" i="25"/>
  <c r="G39" i="25"/>
  <c r="G18" i="1"/>
  <c r="G20" i="1"/>
  <c r="G33" i="1"/>
  <c r="G39" i="1"/>
  <c r="G40" i="1"/>
  <c r="S39" i="22"/>
  <c r="S112" i="22"/>
  <c r="S84" i="23"/>
  <c r="I127" i="23"/>
  <c r="I130" i="23"/>
  <c r="K127" i="23"/>
  <c r="S133" i="20"/>
  <c r="I127" i="21"/>
  <c r="I130" i="21"/>
  <c r="S105" i="22"/>
  <c r="S36" i="23"/>
  <c r="H40" i="15"/>
  <c r="H127" i="21"/>
  <c r="H130" i="21"/>
  <c r="R30" i="20"/>
  <c r="S67" i="24"/>
  <c r="I142" i="21"/>
  <c r="I150" i="21"/>
  <c r="S84" i="24"/>
  <c r="S112" i="24"/>
  <c r="S35" i="23"/>
  <c r="H30" i="24"/>
  <c r="H41" i="24"/>
  <c r="I142" i="23"/>
  <c r="I150" i="23"/>
  <c r="S104" i="20"/>
  <c r="S105" i="21"/>
  <c r="S102" i="24"/>
  <c r="S144" i="21"/>
  <c r="I18" i="22"/>
  <c r="J13" i="22"/>
  <c r="J129" i="23"/>
  <c r="J130" i="23"/>
  <c r="K128" i="23"/>
  <c r="G61" i="25"/>
  <c r="G60" i="25"/>
  <c r="G63" i="25"/>
  <c r="G65" i="1"/>
  <c r="G68" i="1"/>
  <c r="G66" i="1"/>
  <c r="G48" i="25"/>
  <c r="G50" i="25"/>
  <c r="G47" i="25"/>
  <c r="H152" i="10"/>
  <c r="G95" i="21"/>
  <c r="G96" i="21"/>
  <c r="G97" i="21"/>
  <c r="G94" i="21"/>
  <c r="I102" i="22"/>
  <c r="J102" i="22"/>
  <c r="K102" i="22"/>
  <c r="L102" i="22"/>
  <c r="M102" i="22"/>
  <c r="N102" i="22"/>
  <c r="O102" i="22"/>
  <c r="P102" i="22"/>
  <c r="Q102" i="22"/>
  <c r="R102" i="22"/>
  <c r="H106" i="22"/>
  <c r="I155" i="24"/>
  <c r="J153" i="24"/>
  <c r="K144" i="23"/>
  <c r="G59" i="1"/>
  <c r="G14" i="1"/>
  <c r="J149" i="23"/>
  <c r="J150" i="23"/>
  <c r="K137" i="21"/>
  <c r="L136" i="21"/>
  <c r="G77" i="1"/>
  <c r="H71" i="1"/>
  <c r="H158" i="10"/>
  <c r="H83" i="10"/>
  <c r="H82" i="10"/>
  <c r="H84" i="10"/>
  <c r="H69" i="10"/>
  <c r="I50" i="10"/>
  <c r="H211" i="10"/>
  <c r="H18" i="20"/>
  <c r="I13" i="20"/>
  <c r="H127" i="20"/>
  <c r="H130" i="20"/>
  <c r="G96" i="24"/>
  <c r="G97" i="24"/>
  <c r="G95" i="24"/>
  <c r="G94" i="24"/>
  <c r="I46" i="24"/>
  <c r="J44" i="24"/>
  <c r="J100" i="21"/>
  <c r="I106" i="21"/>
  <c r="K24" i="20"/>
  <c r="J25" i="20"/>
  <c r="H117" i="15"/>
  <c r="H118" i="15"/>
  <c r="G142" i="22"/>
  <c r="G150" i="22"/>
  <c r="L99" i="24"/>
  <c r="K106" i="24"/>
  <c r="L16" i="22"/>
  <c r="H98" i="16"/>
  <c r="I94" i="16"/>
  <c r="I98" i="16"/>
  <c r="G127" i="23"/>
  <c r="G130" i="23"/>
  <c r="M144" i="22"/>
  <c r="H107" i="16"/>
  <c r="H142" i="21"/>
  <c r="H150" i="21"/>
  <c r="K78" i="23"/>
  <c r="K129" i="22"/>
  <c r="L128" i="22"/>
  <c r="G30" i="20"/>
  <c r="G41" i="20"/>
  <c r="G157" i="20"/>
  <c r="G159" i="20"/>
  <c r="H10" i="20"/>
  <c r="M129" i="24"/>
  <c r="N128" i="24"/>
  <c r="N121" i="24"/>
  <c r="M122" i="24"/>
  <c r="M16" i="24"/>
  <c r="L18" i="24"/>
  <c r="M31" i="21"/>
  <c r="N44" i="23"/>
  <c r="M46" i="23"/>
  <c r="H98" i="20"/>
  <c r="N31" i="20"/>
  <c r="K25" i="22"/>
  <c r="L22" i="22"/>
  <c r="L78" i="22"/>
  <c r="L137" i="20"/>
  <c r="M136" i="20"/>
  <c r="N121" i="23"/>
  <c r="M122" i="23"/>
  <c r="K136" i="24"/>
  <c r="J137" i="24"/>
  <c r="J65" i="23"/>
  <c r="I68" i="23"/>
  <c r="J122" i="22"/>
  <c r="K121" i="22"/>
  <c r="M99" i="23"/>
  <c r="L106" i="23"/>
  <c r="H98" i="22"/>
  <c r="M122" i="21"/>
  <c r="N121" i="21"/>
  <c r="N113" i="20"/>
  <c r="O110" i="20"/>
  <c r="N136" i="23"/>
  <c r="M137" i="23"/>
  <c r="F28" i="25"/>
  <c r="F33" i="1"/>
  <c r="F52" i="17"/>
  <c r="F53" i="17"/>
  <c r="F54" i="17"/>
  <c r="F39" i="1"/>
  <c r="F40" i="1"/>
  <c r="F36" i="16"/>
  <c r="F18" i="1"/>
  <c r="F20" i="1"/>
  <c r="G31" i="1"/>
  <c r="F30" i="1"/>
  <c r="E22" i="22"/>
  <c r="E22" i="17"/>
  <c r="F75" i="16"/>
  <c r="E22" i="24"/>
  <c r="G83" i="1"/>
  <c r="F31" i="1"/>
  <c r="F36" i="25"/>
  <c r="G30" i="1"/>
  <c r="F36" i="17"/>
  <c r="E22" i="23"/>
  <c r="S32" i="22"/>
  <c r="I33" i="20"/>
  <c r="H40" i="20"/>
  <c r="G127" i="22"/>
  <c r="G130" i="22"/>
  <c r="I69" i="16"/>
  <c r="S148" i="20"/>
  <c r="K128" i="20"/>
  <c r="J129" i="20"/>
  <c r="I52" i="23"/>
  <c r="H53" i="23"/>
  <c r="H62" i="24"/>
  <c r="H47" i="24"/>
  <c r="H48" i="24"/>
  <c r="H61" i="24"/>
  <c r="H50" i="24"/>
  <c r="H49" i="24"/>
  <c r="H63" i="24"/>
  <c r="K124" i="20"/>
  <c r="K123" i="20"/>
  <c r="K125" i="20"/>
  <c r="K126" i="20"/>
  <c r="J154" i="20"/>
  <c r="I155" i="20"/>
  <c r="J24" i="23"/>
  <c r="I25" i="23"/>
  <c r="G51" i="24"/>
  <c r="G54" i="24"/>
  <c r="H95" i="15"/>
  <c r="H97" i="15"/>
  <c r="S37" i="23"/>
  <c r="S148" i="23"/>
  <c r="J23" i="21"/>
  <c r="I25" i="21"/>
  <c r="R127" i="22"/>
  <c r="R130" i="22"/>
  <c r="H27" i="15"/>
  <c r="H29" i="15"/>
  <c r="J145" i="22"/>
  <c r="I149" i="22"/>
  <c r="I150" i="22"/>
  <c r="I111" i="23"/>
  <c r="H113" i="23"/>
  <c r="G51" i="23"/>
  <c r="G54" i="23"/>
  <c r="I85" i="21"/>
  <c r="I86" i="21"/>
  <c r="J14" i="21"/>
  <c r="J138" i="21"/>
  <c r="J141" i="21"/>
  <c r="J140" i="21"/>
  <c r="J139" i="21"/>
  <c r="K33" i="23"/>
  <c r="J40" i="23"/>
  <c r="I82" i="23"/>
  <c r="H86" i="23"/>
  <c r="G127" i="21"/>
  <c r="G130" i="21"/>
  <c r="N153" i="20"/>
  <c r="I127" i="24"/>
  <c r="I130" i="24"/>
  <c r="J66" i="24"/>
  <c r="I68" i="24"/>
  <c r="L78" i="21"/>
  <c r="S146" i="24"/>
  <c r="M31" i="24"/>
  <c r="J78" i="24"/>
  <c r="I86" i="24"/>
  <c r="M110" i="22"/>
  <c r="I64" i="25"/>
  <c r="I51" i="23"/>
  <c r="L153" i="23"/>
  <c r="K155" i="23"/>
  <c r="S34" i="23"/>
  <c r="L142" i="22"/>
  <c r="J26" i="22"/>
  <c r="J29" i="22"/>
  <c r="J28" i="22"/>
  <c r="J27" i="22"/>
  <c r="M143" i="23"/>
  <c r="L123" i="23"/>
  <c r="L126" i="23"/>
  <c r="L125" i="23"/>
  <c r="L124" i="23"/>
  <c r="P13" i="24"/>
  <c r="K25" i="24"/>
  <c r="L22" i="24"/>
  <c r="I123" i="22"/>
  <c r="I125" i="22"/>
  <c r="I124" i="22"/>
  <c r="I126" i="22"/>
  <c r="S38" i="23"/>
  <c r="L142" i="23"/>
  <c r="K7" i="10"/>
  <c r="K84" i="10"/>
  <c r="I38" i="1"/>
  <c r="I92" i="1"/>
  <c r="I7" i="1"/>
  <c r="I7" i="17"/>
  <c r="Q22" i="23"/>
  <c r="H30" i="22"/>
  <c r="S89" i="20"/>
  <c r="M121" i="20"/>
  <c r="L122" i="20"/>
  <c r="I143" i="24"/>
  <c r="H149" i="24"/>
  <c r="H150" i="24"/>
  <c r="I97" i="20"/>
  <c r="I96" i="20"/>
  <c r="I95" i="20"/>
  <c r="I94" i="20"/>
  <c r="H59" i="23"/>
  <c r="I57" i="23"/>
  <c r="I157" i="16"/>
  <c r="I159" i="16"/>
  <c r="I161" i="16"/>
  <c r="I82" i="22"/>
  <c r="H86" i="22"/>
  <c r="G97" i="23"/>
  <c r="G95" i="23"/>
  <c r="G94" i="23"/>
  <c r="G96" i="23"/>
  <c r="G30" i="24"/>
  <c r="G41" i="24"/>
  <c r="J39" i="24"/>
  <c r="I40" i="24"/>
  <c r="I41" i="24"/>
  <c r="H86" i="21"/>
  <c r="I107" i="16"/>
  <c r="K15" i="23"/>
  <c r="J18" i="23"/>
  <c r="G30" i="23"/>
  <c r="G41" i="23"/>
  <c r="I86" i="20"/>
  <c r="J84" i="20"/>
  <c r="K128" i="21"/>
  <c r="J129" i="21"/>
  <c r="J130" i="21"/>
  <c r="K99" i="22"/>
  <c r="N153" i="21"/>
  <c r="M155" i="22"/>
  <c r="N153" i="22"/>
  <c r="N143" i="20"/>
  <c r="I135" i="10"/>
  <c r="J29" i="24"/>
  <c r="J28" i="24"/>
  <c r="J26" i="24"/>
  <c r="J27" i="24"/>
  <c r="J127" i="20"/>
  <c r="O23" i="23"/>
  <c r="Q33" i="22"/>
  <c r="I154" i="21"/>
  <c r="H155" i="21"/>
  <c r="L126" i="21"/>
  <c r="L124" i="21"/>
  <c r="L123" i="21"/>
  <c r="L125" i="21"/>
  <c r="I93" i="22"/>
  <c r="J92" i="22"/>
  <c r="H7" i="17"/>
  <c r="H92" i="1"/>
  <c r="H38" i="1"/>
  <c r="N107" i="25"/>
  <c r="O103" i="25"/>
  <c r="O107" i="25"/>
  <c r="H95" i="23"/>
  <c r="H94" i="23"/>
  <c r="H97" i="23"/>
  <c r="H96" i="23"/>
  <c r="K34" i="22"/>
  <c r="G142" i="23"/>
  <c r="G150" i="23"/>
  <c r="I89" i="21"/>
  <c r="H93" i="21"/>
  <c r="S17" i="23"/>
  <c r="S38" i="22"/>
  <c r="S103" i="22"/>
  <c r="I89" i="24"/>
  <c r="H93" i="24"/>
  <c r="H159" i="16"/>
  <c r="H161" i="16"/>
  <c r="S35" i="20"/>
  <c r="J111" i="22"/>
  <c r="I113" i="22"/>
  <c r="G30" i="17"/>
  <c r="S101" i="21"/>
  <c r="S148" i="24"/>
  <c r="K92" i="20"/>
  <c r="J93" i="20"/>
  <c r="G60" i="23"/>
  <c r="F30" i="17"/>
  <c r="G98" i="17"/>
  <c r="G107" i="17"/>
  <c r="S100" i="23"/>
  <c r="H54" i="23"/>
  <c r="H30" i="23"/>
  <c r="H41" i="23"/>
  <c r="I92" i="23"/>
  <c r="L34" i="24"/>
  <c r="M34" i="24"/>
  <c r="N34" i="24"/>
  <c r="O34" i="24"/>
  <c r="P34" i="24"/>
  <c r="Q34" i="24"/>
  <c r="R34" i="24"/>
  <c r="R40" i="24"/>
  <c r="S133" i="24"/>
  <c r="F127" i="16"/>
  <c r="F130" i="16"/>
  <c r="H150" i="22"/>
  <c r="N22" i="21"/>
  <c r="G30" i="22"/>
  <c r="H107" i="1"/>
  <c r="G109" i="1"/>
  <c r="H30" i="20"/>
  <c r="L99" i="21"/>
  <c r="M143" i="21"/>
  <c r="L149" i="21"/>
  <c r="L126" i="24"/>
  <c r="L124" i="24"/>
  <c r="L123" i="24"/>
  <c r="L125" i="24"/>
  <c r="M85" i="20"/>
  <c r="N14" i="20"/>
  <c r="H113" i="24"/>
  <c r="I110" i="24"/>
  <c r="I106" i="22"/>
  <c r="L49" i="23"/>
  <c r="L48" i="23"/>
  <c r="L61" i="23"/>
  <c r="L63" i="23"/>
  <c r="L47" i="23"/>
  <c r="L50" i="23"/>
  <c r="L62" i="23"/>
  <c r="P137" i="22"/>
  <c r="Q136" i="22"/>
  <c r="S16" i="23"/>
  <c r="J145" i="20"/>
  <c r="I149" i="20"/>
  <c r="I150" i="20"/>
  <c r="I51" i="25"/>
  <c r="S38" i="21"/>
  <c r="K139" i="20"/>
  <c r="K140" i="20"/>
  <c r="K138" i="20"/>
  <c r="K141" i="20"/>
  <c r="M158" i="25"/>
  <c r="M160" i="25"/>
  <c r="L52" i="24"/>
  <c r="K53" i="24"/>
  <c r="S146" i="21"/>
  <c r="I100" i="20"/>
  <c r="H106" i="20"/>
  <c r="I13" i="21"/>
  <c r="H18" i="21"/>
  <c r="I138" i="24"/>
  <c r="I139" i="24"/>
  <c r="I140" i="24"/>
  <c r="I141" i="24"/>
  <c r="J34" i="10"/>
  <c r="J38" i="10"/>
  <c r="H18" i="1"/>
  <c r="H20" i="1"/>
  <c r="H39" i="25"/>
  <c r="H39" i="1"/>
  <c r="H28" i="25"/>
  <c r="H82" i="1"/>
  <c r="H30" i="1"/>
  <c r="H23" i="1"/>
  <c r="J46" i="1"/>
  <c r="H22" i="25"/>
  <c r="H25" i="25"/>
  <c r="H46" i="1"/>
  <c r="H31" i="1"/>
  <c r="H83" i="1"/>
  <c r="I46" i="1"/>
  <c r="H33" i="1"/>
  <c r="H52" i="17"/>
  <c r="H53" i="17"/>
  <c r="H36" i="25"/>
  <c r="J41" i="10"/>
  <c r="H52" i="25"/>
  <c r="H53" i="25"/>
  <c r="H81" i="1"/>
  <c r="I137" i="25"/>
  <c r="H138" i="25"/>
  <c r="R65" i="24"/>
  <c r="S65" i="24"/>
  <c r="J113" i="21"/>
  <c r="K110" i="21"/>
  <c r="G139" i="10"/>
  <c r="G143" i="10"/>
  <c r="G153" i="10"/>
  <c r="G68" i="17"/>
  <c r="G68" i="25"/>
  <c r="S34" i="24"/>
  <c r="J106" i="22"/>
  <c r="S102" i="22"/>
  <c r="M59" i="24"/>
  <c r="M60" i="24"/>
  <c r="N57" i="24"/>
  <c r="G30" i="21"/>
  <c r="H41" i="20"/>
  <c r="L128" i="23"/>
  <c r="K129" i="23"/>
  <c r="K13" i="22"/>
  <c r="J18" i="22"/>
  <c r="K130" i="23"/>
  <c r="L127" i="21"/>
  <c r="I98" i="20"/>
  <c r="H107" i="22"/>
  <c r="G51" i="25"/>
  <c r="G54" i="25"/>
  <c r="G64" i="25"/>
  <c r="G69" i="25"/>
  <c r="G24" i="1"/>
  <c r="G26" i="25"/>
  <c r="G27" i="25"/>
  <c r="H40" i="1"/>
  <c r="G69" i="1"/>
  <c r="G78" i="1"/>
  <c r="K145" i="20"/>
  <c r="J149" i="20"/>
  <c r="J150" i="20"/>
  <c r="L34" i="22"/>
  <c r="J154" i="21"/>
  <c r="I155" i="21"/>
  <c r="P23" i="23"/>
  <c r="O143" i="20"/>
  <c r="N143" i="23"/>
  <c r="N110" i="22"/>
  <c r="M78" i="21"/>
  <c r="K145" i="22"/>
  <c r="J149" i="22"/>
  <c r="J150" i="22"/>
  <c r="H64" i="24"/>
  <c r="H69" i="24"/>
  <c r="B45" i="8"/>
  <c r="M137" i="20"/>
  <c r="N136" i="20"/>
  <c r="M47" i="23"/>
  <c r="M63" i="23"/>
  <c r="M50" i="23"/>
  <c r="M48" i="23"/>
  <c r="M62" i="23"/>
  <c r="M61" i="23"/>
  <c r="M49" i="23"/>
  <c r="L24" i="20"/>
  <c r="K25" i="20"/>
  <c r="G98" i="24"/>
  <c r="G107" i="24"/>
  <c r="G157" i="24"/>
  <c r="I71" i="1"/>
  <c r="H77" i="1"/>
  <c r="L137" i="21"/>
  <c r="M136" i="21"/>
  <c r="J13" i="21"/>
  <c r="I18" i="21"/>
  <c r="L51" i="23"/>
  <c r="I93" i="24"/>
  <c r="J89" i="24"/>
  <c r="O158" i="25"/>
  <c r="O160" i="25"/>
  <c r="O162" i="25"/>
  <c r="I102" i="1"/>
  <c r="H29" i="1"/>
  <c r="H103" i="1"/>
  <c r="I103" i="1"/>
  <c r="J7" i="1"/>
  <c r="J103" i="1"/>
  <c r="I12" i="1"/>
  <c r="H13" i="1"/>
  <c r="I28" i="1"/>
  <c r="I26" i="1"/>
  <c r="I34" i="1"/>
  <c r="I35" i="1"/>
  <c r="I111" i="1"/>
  <c r="J30" i="24"/>
  <c r="K84" i="20"/>
  <c r="J86" i="20"/>
  <c r="L15" i="23"/>
  <c r="K18" i="23"/>
  <c r="M122" i="20"/>
  <c r="N121" i="20"/>
  <c r="F26" i="16"/>
  <c r="O121" i="23"/>
  <c r="N122" i="23"/>
  <c r="L140" i="20"/>
  <c r="L139" i="20"/>
  <c r="L141" i="20"/>
  <c r="L138" i="20"/>
  <c r="L25" i="22"/>
  <c r="M22" i="22"/>
  <c r="N46" i="23"/>
  <c r="O44" i="23"/>
  <c r="I18" i="20"/>
  <c r="J13" i="20"/>
  <c r="K140" i="21"/>
  <c r="K138" i="21"/>
  <c r="K139" i="21"/>
  <c r="K141" i="21"/>
  <c r="H10" i="1"/>
  <c r="L144" i="23"/>
  <c r="K149" i="23"/>
  <c r="K150" i="23"/>
  <c r="L110" i="21"/>
  <c r="K113" i="21"/>
  <c r="I138" i="25"/>
  <c r="J137" i="25"/>
  <c r="J138" i="25"/>
  <c r="H84" i="1"/>
  <c r="H107" i="20"/>
  <c r="M52" i="24"/>
  <c r="L53" i="24"/>
  <c r="K142" i="20"/>
  <c r="J110" i="24"/>
  <c r="I113" i="24"/>
  <c r="N85" i="20"/>
  <c r="O14" i="20"/>
  <c r="I93" i="23"/>
  <c r="J92" i="23"/>
  <c r="H101" i="1"/>
  <c r="I101" i="1"/>
  <c r="J101" i="1"/>
  <c r="G64" i="23"/>
  <c r="G69" i="23"/>
  <c r="K111" i="22"/>
  <c r="J113" i="22"/>
  <c r="O153" i="21"/>
  <c r="K106" i="22"/>
  <c r="L99" i="22"/>
  <c r="K39" i="24"/>
  <c r="J40" i="24"/>
  <c r="G98" i="23"/>
  <c r="G107" i="23"/>
  <c r="I59" i="23"/>
  <c r="J57" i="23"/>
  <c r="J143" i="24"/>
  <c r="I149" i="24"/>
  <c r="M22" i="24"/>
  <c r="L25" i="24"/>
  <c r="Q13" i="24"/>
  <c r="L127" i="23"/>
  <c r="J30" i="22"/>
  <c r="M153" i="23"/>
  <c r="L155" i="23"/>
  <c r="J82" i="23"/>
  <c r="I86" i="23"/>
  <c r="I113" i="23"/>
  <c r="J111" i="23"/>
  <c r="H26" i="15"/>
  <c r="H30" i="15"/>
  <c r="H41" i="15"/>
  <c r="K154" i="20"/>
  <c r="J155" i="20"/>
  <c r="K127" i="20"/>
  <c r="H51" i="24"/>
  <c r="H54" i="24"/>
  <c r="I53" i="23"/>
  <c r="I54" i="23"/>
  <c r="J52" i="23"/>
  <c r="L128" i="20"/>
  <c r="K129" i="20"/>
  <c r="J33" i="20"/>
  <c r="I40" i="20"/>
  <c r="I41" i="20"/>
  <c r="G34" i="1"/>
  <c r="G35" i="1"/>
  <c r="G111" i="1"/>
  <c r="G113" i="1"/>
  <c r="F22" i="1"/>
  <c r="F88" i="1"/>
  <c r="F89" i="1"/>
  <c r="O113" i="20"/>
  <c r="P110" i="20"/>
  <c r="K122" i="22"/>
  <c r="L121" i="22"/>
  <c r="J141" i="24"/>
  <c r="J139" i="24"/>
  <c r="J138" i="24"/>
  <c r="J140" i="24"/>
  <c r="M78" i="22"/>
  <c r="K26" i="22"/>
  <c r="K29" i="22"/>
  <c r="K27" i="22"/>
  <c r="K28" i="22"/>
  <c r="M123" i="24"/>
  <c r="M126" i="24"/>
  <c r="M125" i="24"/>
  <c r="M124" i="24"/>
  <c r="O128" i="24"/>
  <c r="N129" i="24"/>
  <c r="L129" i="22"/>
  <c r="M128" i="22"/>
  <c r="M16" i="22"/>
  <c r="M99" i="24"/>
  <c r="L106" i="24"/>
  <c r="K44" i="24"/>
  <c r="J46" i="24"/>
  <c r="R136" i="22"/>
  <c r="R137" i="22"/>
  <c r="Q137" i="22"/>
  <c r="L92" i="20"/>
  <c r="K93" i="20"/>
  <c r="H66" i="17"/>
  <c r="H65" i="17"/>
  <c r="H67" i="17"/>
  <c r="K92" i="22"/>
  <c r="J93" i="22"/>
  <c r="N155" i="22"/>
  <c r="O153" i="22"/>
  <c r="L123" i="20"/>
  <c r="L125" i="20"/>
  <c r="L124" i="20"/>
  <c r="L126" i="20"/>
  <c r="I127" i="22"/>
  <c r="I130" i="22"/>
  <c r="K66" i="24"/>
  <c r="J68" i="24"/>
  <c r="O153" i="20"/>
  <c r="L33" i="23"/>
  <c r="K40" i="23"/>
  <c r="K23" i="21"/>
  <c r="J25" i="21"/>
  <c r="K24" i="23"/>
  <c r="J25" i="23"/>
  <c r="N137" i="23"/>
  <c r="O136" i="23"/>
  <c r="N122" i="21"/>
  <c r="O121" i="21"/>
  <c r="N99" i="23"/>
  <c r="M106" i="23"/>
  <c r="M125" i="23"/>
  <c r="M123" i="23"/>
  <c r="M124" i="23"/>
  <c r="M126" i="23"/>
  <c r="L78" i="23"/>
  <c r="H139" i="25"/>
  <c r="H140" i="25"/>
  <c r="H142" i="25"/>
  <c r="H22" i="1"/>
  <c r="H21" i="1"/>
  <c r="H24" i="1"/>
  <c r="P140" i="22"/>
  <c r="P141" i="22"/>
  <c r="P138" i="22"/>
  <c r="P139" i="22"/>
  <c r="L127" i="24"/>
  <c r="L130" i="24"/>
  <c r="N143" i="21"/>
  <c r="M149" i="21"/>
  <c r="H97" i="21"/>
  <c r="H96" i="21"/>
  <c r="H95" i="21"/>
  <c r="H94" i="21"/>
  <c r="J84" i="10"/>
  <c r="I94" i="22"/>
  <c r="I96" i="22"/>
  <c r="I97" i="22"/>
  <c r="I95" i="22"/>
  <c r="L128" i="21"/>
  <c r="K129" i="21"/>
  <c r="K130" i="21"/>
  <c r="N31" i="24"/>
  <c r="H157" i="20"/>
  <c r="H159" i="20"/>
  <c r="I10" i="20"/>
  <c r="M124" i="21"/>
  <c r="M126" i="21"/>
  <c r="M123" i="21"/>
  <c r="M125" i="21"/>
  <c r="K34" i="10"/>
  <c r="K38" i="10"/>
  <c r="K39" i="10"/>
  <c r="K44" i="10"/>
  <c r="I37" i="25"/>
  <c r="I82" i="1"/>
  <c r="I28" i="25"/>
  <c r="I30" i="1"/>
  <c r="K54" i="10"/>
  <c r="K41" i="10"/>
  <c r="I18" i="1"/>
  <c r="I20" i="1"/>
  <c r="I22" i="25"/>
  <c r="I25" i="25"/>
  <c r="I81" i="1"/>
  <c r="I23" i="1"/>
  <c r="I112" i="25"/>
  <c r="I52" i="25"/>
  <c r="I53" i="25"/>
  <c r="I54" i="25"/>
  <c r="I83" i="1"/>
  <c r="I39" i="25"/>
  <c r="I36" i="25"/>
  <c r="I39" i="1"/>
  <c r="I40" i="1"/>
  <c r="I31" i="1"/>
  <c r="K51" i="10"/>
  <c r="I36" i="17"/>
  <c r="I33" i="1"/>
  <c r="K65" i="23"/>
  <c r="J68" i="23"/>
  <c r="H26" i="25"/>
  <c r="H29" i="25"/>
  <c r="H27" i="25"/>
  <c r="I142" i="24"/>
  <c r="I150" i="24"/>
  <c r="J100" i="20"/>
  <c r="I106" i="20"/>
  <c r="I107" i="20"/>
  <c r="M99" i="21"/>
  <c r="I107" i="1"/>
  <c r="H109" i="1"/>
  <c r="O22" i="21"/>
  <c r="J95" i="20"/>
  <c r="J94" i="20"/>
  <c r="J96" i="20"/>
  <c r="J97" i="20"/>
  <c r="H95" i="24"/>
  <c r="H94" i="24"/>
  <c r="H96" i="24"/>
  <c r="H97" i="24"/>
  <c r="J89" i="21"/>
  <c r="I93" i="21"/>
  <c r="H98" i="23"/>
  <c r="H107" i="23"/>
  <c r="H66" i="25"/>
  <c r="H33" i="25"/>
  <c r="I33" i="25"/>
  <c r="J7" i="25"/>
  <c r="J33" i="25"/>
  <c r="H148" i="25"/>
  <c r="I148" i="25"/>
  <c r="J148" i="25"/>
  <c r="H65" i="25"/>
  <c r="I15" i="25"/>
  <c r="H134" i="25"/>
  <c r="H147" i="25"/>
  <c r="H129" i="25"/>
  <c r="H130" i="25"/>
  <c r="H17" i="25"/>
  <c r="H67" i="25"/>
  <c r="H111" i="25"/>
  <c r="H114" i="25"/>
  <c r="H16" i="25"/>
  <c r="R33" i="22"/>
  <c r="L7" i="10"/>
  <c r="L84" i="10"/>
  <c r="J92" i="1"/>
  <c r="J7" i="17"/>
  <c r="J38" i="1"/>
  <c r="J130" i="20"/>
  <c r="J82" i="22"/>
  <c r="I86" i="22"/>
  <c r="H60" i="23"/>
  <c r="H64" i="23"/>
  <c r="H69" i="23"/>
  <c r="H157" i="23"/>
  <c r="R22" i="23"/>
  <c r="R25" i="23"/>
  <c r="I13" i="1"/>
  <c r="J12" i="1"/>
  <c r="I29" i="1"/>
  <c r="I17" i="25"/>
  <c r="I129" i="25"/>
  <c r="I130" i="25"/>
  <c r="I65" i="25"/>
  <c r="I134" i="25"/>
  <c r="I111" i="25"/>
  <c r="I67" i="25"/>
  <c r="J15" i="25"/>
  <c r="I35" i="25"/>
  <c r="I16" i="25"/>
  <c r="I66" i="25"/>
  <c r="K29" i="24"/>
  <c r="K27" i="24"/>
  <c r="K28" i="24"/>
  <c r="K26" i="24"/>
  <c r="J86" i="24"/>
  <c r="K78" i="24"/>
  <c r="J142" i="21"/>
  <c r="J150" i="21"/>
  <c r="J85" i="21"/>
  <c r="J86" i="21"/>
  <c r="K14" i="21"/>
  <c r="I27" i="21"/>
  <c r="I29" i="21"/>
  <c r="I28" i="21"/>
  <c r="I26" i="21"/>
  <c r="H94" i="15"/>
  <c r="H98" i="15"/>
  <c r="H107" i="15"/>
  <c r="I28" i="23"/>
  <c r="I27" i="23"/>
  <c r="I29" i="23"/>
  <c r="I26" i="23"/>
  <c r="M141" i="23"/>
  <c r="M139" i="23"/>
  <c r="M138" i="23"/>
  <c r="M140" i="23"/>
  <c r="J123" i="22"/>
  <c r="J124" i="22"/>
  <c r="J126" i="22"/>
  <c r="J125" i="22"/>
  <c r="K137" i="24"/>
  <c r="L136" i="24"/>
  <c r="O31" i="20"/>
  <c r="N31" i="21"/>
  <c r="N16" i="24"/>
  <c r="M18" i="24"/>
  <c r="N122" i="24"/>
  <c r="O121" i="24"/>
  <c r="N144" i="22"/>
  <c r="J29" i="20"/>
  <c r="J26" i="20"/>
  <c r="J27" i="20"/>
  <c r="J28" i="20"/>
  <c r="K100" i="21"/>
  <c r="J106" i="21"/>
  <c r="I47" i="24"/>
  <c r="I62" i="24"/>
  <c r="I49" i="24"/>
  <c r="I61" i="24"/>
  <c r="I50" i="24"/>
  <c r="I63" i="24"/>
  <c r="I48" i="24"/>
  <c r="H170" i="10"/>
  <c r="H171" i="10"/>
  <c r="J155" i="24"/>
  <c r="K153" i="24"/>
  <c r="G98" i="21"/>
  <c r="G107" i="21"/>
  <c r="K30" i="24"/>
  <c r="J142" i="24"/>
  <c r="N59" i="24"/>
  <c r="N60" i="24"/>
  <c r="O57" i="24"/>
  <c r="G30" i="25"/>
  <c r="M128" i="23"/>
  <c r="L129" i="23"/>
  <c r="I64" i="24"/>
  <c r="I69" i="24"/>
  <c r="L130" i="23"/>
  <c r="G157" i="23"/>
  <c r="M51" i="23"/>
  <c r="L13" i="22"/>
  <c r="K18" i="22"/>
  <c r="I84" i="1"/>
  <c r="H25" i="1"/>
  <c r="K155" i="24"/>
  <c r="L153" i="24"/>
  <c r="O16" i="24"/>
  <c r="N18" i="24"/>
  <c r="P31" i="20"/>
  <c r="K140" i="24"/>
  <c r="K141" i="24"/>
  <c r="K138" i="24"/>
  <c r="K139" i="24"/>
  <c r="M142" i="23"/>
  <c r="I114" i="25"/>
  <c r="S22" i="23"/>
  <c r="I147" i="25"/>
  <c r="I150" i="25"/>
  <c r="I139" i="25"/>
  <c r="I140" i="25"/>
  <c r="I142" i="25"/>
  <c r="I143" i="25"/>
  <c r="I151" i="25"/>
  <c r="H150" i="25"/>
  <c r="H68" i="25"/>
  <c r="H69" i="25"/>
  <c r="I95" i="21"/>
  <c r="I96" i="21"/>
  <c r="I94" i="21"/>
  <c r="I97" i="21"/>
  <c r="H98" i="24"/>
  <c r="H107" i="24"/>
  <c r="J98" i="20"/>
  <c r="S136" i="22"/>
  <c r="S137" i="22"/>
  <c r="K100" i="20"/>
  <c r="J106" i="20"/>
  <c r="J107" i="20"/>
  <c r="I98" i="22"/>
  <c r="I107" i="22"/>
  <c r="J14" i="10"/>
  <c r="J192" i="10"/>
  <c r="H143" i="25"/>
  <c r="H151" i="25"/>
  <c r="M78" i="23"/>
  <c r="N106" i="23"/>
  <c r="O99" i="23"/>
  <c r="O122" i="21"/>
  <c r="P121" i="21"/>
  <c r="L23" i="21"/>
  <c r="K25" i="21"/>
  <c r="P153" i="20"/>
  <c r="L66" i="24"/>
  <c r="K68" i="24"/>
  <c r="L34" i="10"/>
  <c r="L38" i="10"/>
  <c r="J82" i="1"/>
  <c r="J31" i="1"/>
  <c r="J33" i="1"/>
  <c r="J81" i="1"/>
  <c r="J37" i="25"/>
  <c r="J39" i="25"/>
  <c r="J28" i="25"/>
  <c r="J39" i="1"/>
  <c r="L51" i="10"/>
  <c r="J36" i="17"/>
  <c r="J23" i="1"/>
  <c r="J112" i="25"/>
  <c r="J83" i="1"/>
  <c r="J18" i="1"/>
  <c r="J20" i="1"/>
  <c r="J52" i="25"/>
  <c r="J53" i="25"/>
  <c r="J22" i="25"/>
  <c r="J25" i="25"/>
  <c r="J36" i="25"/>
  <c r="L41" i="10"/>
  <c r="J30" i="1"/>
  <c r="M92" i="20"/>
  <c r="L93" i="20"/>
  <c r="L44" i="24"/>
  <c r="K46" i="24"/>
  <c r="M106" i="24"/>
  <c r="N99" i="24"/>
  <c r="M129" i="22"/>
  <c r="N128" i="22"/>
  <c r="M127" i="24"/>
  <c r="M130" i="24"/>
  <c r="L129" i="20"/>
  <c r="M128" i="20"/>
  <c r="H157" i="24"/>
  <c r="L154" i="20"/>
  <c r="K155" i="20"/>
  <c r="R13" i="24"/>
  <c r="L28" i="24"/>
  <c r="L27" i="24"/>
  <c r="L26" i="24"/>
  <c r="L29" i="24"/>
  <c r="J59" i="23"/>
  <c r="K57" i="23"/>
  <c r="J41" i="24"/>
  <c r="L106" i="22"/>
  <c r="M99" i="22"/>
  <c r="M53" i="24"/>
  <c r="N52" i="24"/>
  <c r="H59" i="1"/>
  <c r="I10" i="1"/>
  <c r="I59" i="1"/>
  <c r="K142" i="21"/>
  <c r="K150" i="21"/>
  <c r="N47" i="23"/>
  <c r="N63" i="23"/>
  <c r="N50" i="23"/>
  <c r="N62" i="23"/>
  <c r="N48" i="23"/>
  <c r="N49" i="23"/>
  <c r="N61" i="23"/>
  <c r="M25" i="22"/>
  <c r="N22" i="22"/>
  <c r="P121" i="23"/>
  <c r="O122" i="23"/>
  <c r="H35" i="1"/>
  <c r="H111" i="1"/>
  <c r="H14" i="1"/>
  <c r="H113" i="1"/>
  <c r="I95" i="24"/>
  <c r="I94" i="24"/>
  <c r="I96" i="24"/>
  <c r="I97" i="24"/>
  <c r="J71" i="1"/>
  <c r="J77" i="1"/>
  <c r="I77" i="1"/>
  <c r="M140" i="20"/>
  <c r="M141" i="20"/>
  <c r="M139" i="20"/>
  <c r="M138" i="20"/>
  <c r="K55" i="10"/>
  <c r="L55" i="10"/>
  <c r="J51" i="10"/>
  <c r="H36" i="17"/>
  <c r="J52" i="10"/>
  <c r="G37" i="22"/>
  <c r="S37" i="22"/>
  <c r="I54" i="10"/>
  <c r="M54" i="10"/>
  <c r="N78" i="21"/>
  <c r="M34" i="22"/>
  <c r="L145" i="20"/>
  <c r="K149" i="20"/>
  <c r="L100" i="21"/>
  <c r="K106" i="21"/>
  <c r="M136" i="24"/>
  <c r="L137" i="24"/>
  <c r="L78" i="24"/>
  <c r="K86" i="24"/>
  <c r="J29" i="1"/>
  <c r="J26" i="1"/>
  <c r="J13" i="1"/>
  <c r="P22" i="21"/>
  <c r="N99" i="21"/>
  <c r="M127" i="23"/>
  <c r="N140" i="23"/>
  <c r="N138" i="23"/>
  <c r="N141" i="23"/>
  <c r="N139" i="23"/>
  <c r="L24" i="23"/>
  <c r="K25" i="23"/>
  <c r="J26" i="21"/>
  <c r="J27" i="21"/>
  <c r="J29" i="21"/>
  <c r="J28" i="21"/>
  <c r="M33" i="23"/>
  <c r="L40" i="23"/>
  <c r="K14" i="10"/>
  <c r="K192" i="10"/>
  <c r="L127" i="20"/>
  <c r="K95" i="20"/>
  <c r="K94" i="20"/>
  <c r="K96" i="20"/>
  <c r="K97" i="20"/>
  <c r="J50" i="24"/>
  <c r="J47" i="24"/>
  <c r="J48" i="24"/>
  <c r="J49" i="24"/>
  <c r="J62" i="24"/>
  <c r="J61" i="24"/>
  <c r="J63" i="24"/>
  <c r="P128" i="24"/>
  <c r="O129" i="24"/>
  <c r="N78" i="22"/>
  <c r="K124" i="22"/>
  <c r="K126" i="22"/>
  <c r="K125" i="22"/>
  <c r="K123" i="22"/>
  <c r="K82" i="23"/>
  <c r="J86" i="23"/>
  <c r="K143" i="24"/>
  <c r="J149" i="24"/>
  <c r="J150" i="24"/>
  <c r="P14" i="20"/>
  <c r="O85" i="20"/>
  <c r="J139" i="25"/>
  <c r="J142" i="25"/>
  <c r="J140" i="25"/>
  <c r="M144" i="23"/>
  <c r="L149" i="23"/>
  <c r="L150" i="23"/>
  <c r="P44" i="23"/>
  <c r="O46" i="23"/>
  <c r="L142" i="20"/>
  <c r="N126" i="23"/>
  <c r="N123" i="23"/>
  <c r="N124" i="23"/>
  <c r="N125" i="23"/>
  <c r="L84" i="20"/>
  <c r="K86" i="20"/>
  <c r="J28" i="1"/>
  <c r="K89" i="24"/>
  <c r="J93" i="24"/>
  <c r="M24" i="20"/>
  <c r="L25" i="20"/>
  <c r="N137" i="20"/>
  <c r="O136" i="20"/>
  <c r="O143" i="23"/>
  <c r="I51" i="24"/>
  <c r="I54" i="24"/>
  <c r="O144" i="22"/>
  <c r="P121" i="24"/>
  <c r="O122" i="24"/>
  <c r="J127" i="22"/>
  <c r="J130" i="22"/>
  <c r="I30" i="21"/>
  <c r="K82" i="22"/>
  <c r="J86" i="22"/>
  <c r="J35" i="25"/>
  <c r="J16" i="25"/>
  <c r="J111" i="25"/>
  <c r="J66" i="25"/>
  <c r="J17" i="25"/>
  <c r="J65" i="25"/>
  <c r="J129" i="25"/>
  <c r="J130" i="25"/>
  <c r="J134" i="25"/>
  <c r="J67" i="25"/>
  <c r="S33" i="22"/>
  <c r="K89" i="21"/>
  <c r="J93" i="21"/>
  <c r="J107" i="1"/>
  <c r="J109" i="1"/>
  <c r="I109" i="1"/>
  <c r="L65" i="23"/>
  <c r="K68" i="23"/>
  <c r="I24" i="1"/>
  <c r="I22" i="1"/>
  <c r="I21" i="1"/>
  <c r="M127" i="21"/>
  <c r="O31" i="24"/>
  <c r="H98" i="21"/>
  <c r="H107" i="21"/>
  <c r="O143" i="21"/>
  <c r="N149" i="21"/>
  <c r="N123" i="21"/>
  <c r="N125" i="21"/>
  <c r="N126" i="21"/>
  <c r="N124" i="21"/>
  <c r="O155" i="22"/>
  <c r="P153" i="22"/>
  <c r="J97" i="22"/>
  <c r="J94" i="22"/>
  <c r="J95" i="22"/>
  <c r="J96" i="22"/>
  <c r="H68" i="17"/>
  <c r="Q140" i="22"/>
  <c r="Q139" i="22"/>
  <c r="Q141" i="22"/>
  <c r="Q138" i="22"/>
  <c r="K30" i="22"/>
  <c r="P113" i="20"/>
  <c r="Q110" i="20"/>
  <c r="I157" i="20"/>
  <c r="I159" i="20"/>
  <c r="J10" i="20"/>
  <c r="J53" i="23"/>
  <c r="J54" i="23"/>
  <c r="K52" i="23"/>
  <c r="K130" i="20"/>
  <c r="G159" i="15"/>
  <c r="G161" i="15"/>
  <c r="K111" i="23"/>
  <c r="J113" i="23"/>
  <c r="M155" i="23"/>
  <c r="N153" i="23"/>
  <c r="M25" i="24"/>
  <c r="N22" i="24"/>
  <c r="I60" i="23"/>
  <c r="I64" i="23"/>
  <c r="I69" i="23"/>
  <c r="L39" i="24"/>
  <c r="K40" i="24"/>
  <c r="K41" i="24"/>
  <c r="L111" i="22"/>
  <c r="K113" i="22"/>
  <c r="K92" i="23"/>
  <c r="J93" i="23"/>
  <c r="J18" i="20"/>
  <c r="K13" i="20"/>
  <c r="L28" i="22"/>
  <c r="L27" i="22"/>
  <c r="L29" i="22"/>
  <c r="L26" i="22"/>
  <c r="O121" i="20"/>
  <c r="N122" i="20"/>
  <c r="L18" i="23"/>
  <c r="M15" i="23"/>
  <c r="J102" i="1"/>
  <c r="K13" i="21"/>
  <c r="J18" i="21"/>
  <c r="M137" i="21"/>
  <c r="N136" i="21"/>
  <c r="P143" i="20"/>
  <c r="Q23" i="23"/>
  <c r="S23" i="23"/>
  <c r="K154" i="21"/>
  <c r="J155" i="21"/>
  <c r="J30" i="20"/>
  <c r="N124" i="24"/>
  <c r="N123" i="24"/>
  <c r="N125" i="24"/>
  <c r="N126" i="24"/>
  <c r="O31" i="21"/>
  <c r="I30" i="23"/>
  <c r="I41" i="23"/>
  <c r="L14" i="21"/>
  <c r="K85" i="21"/>
  <c r="K86" i="21"/>
  <c r="I68" i="25"/>
  <c r="I69" i="25"/>
  <c r="R27" i="23"/>
  <c r="R29" i="23"/>
  <c r="R28" i="23"/>
  <c r="R26" i="23"/>
  <c r="J40" i="1"/>
  <c r="H30" i="25"/>
  <c r="M128" i="21"/>
  <c r="L129" i="21"/>
  <c r="L130" i="21"/>
  <c r="P142" i="22"/>
  <c r="P136" i="23"/>
  <c r="O137" i="23"/>
  <c r="J26" i="23"/>
  <c r="J27" i="23"/>
  <c r="J29" i="23"/>
  <c r="J28" i="23"/>
  <c r="L92" i="22"/>
  <c r="K93" i="22"/>
  <c r="R140" i="22"/>
  <c r="R138" i="22"/>
  <c r="S138" i="22"/>
  <c r="R139" i="22"/>
  <c r="R141" i="22"/>
  <c r="N16" i="22"/>
  <c r="L122" i="22"/>
  <c r="M121" i="22"/>
  <c r="K33" i="20"/>
  <c r="J40" i="20"/>
  <c r="P153" i="21"/>
  <c r="I95" i="23"/>
  <c r="I94" i="23"/>
  <c r="I96" i="23"/>
  <c r="I97" i="23"/>
  <c r="J113" i="24"/>
  <c r="K110" i="24"/>
  <c r="K150" i="20"/>
  <c r="M110" i="21"/>
  <c r="L113" i="21"/>
  <c r="M124" i="20"/>
  <c r="M126" i="20"/>
  <c r="M123" i="20"/>
  <c r="M125" i="20"/>
  <c r="L138" i="21"/>
  <c r="L139" i="21"/>
  <c r="L141" i="21"/>
  <c r="L140" i="21"/>
  <c r="K28" i="20"/>
  <c r="K27" i="20"/>
  <c r="K29" i="20"/>
  <c r="K26" i="20"/>
  <c r="L145" i="22"/>
  <c r="K149" i="22"/>
  <c r="K150" i="22"/>
  <c r="O110" i="22"/>
  <c r="J114" i="25"/>
  <c r="H130" i="10"/>
  <c r="S140" i="22"/>
  <c r="J41" i="20"/>
  <c r="J157" i="20"/>
  <c r="J68" i="25"/>
  <c r="O59" i="24"/>
  <c r="O60" i="24"/>
  <c r="P57" i="24"/>
  <c r="K142" i="24"/>
  <c r="S139" i="22"/>
  <c r="S141" i="22"/>
  <c r="J98" i="22"/>
  <c r="J107" i="22"/>
  <c r="M13" i="22"/>
  <c r="L18" i="22"/>
  <c r="M129" i="23"/>
  <c r="M130" i="23"/>
  <c r="N128" i="23"/>
  <c r="J143" i="25"/>
  <c r="N137" i="21"/>
  <c r="O136" i="21"/>
  <c r="K53" i="23"/>
  <c r="K54" i="23"/>
  <c r="L52" i="23"/>
  <c r="P144" i="22"/>
  <c r="Q44" i="23"/>
  <c r="P46" i="23"/>
  <c r="O52" i="24"/>
  <c r="N53" i="24"/>
  <c r="M154" i="20"/>
  <c r="L155" i="20"/>
  <c r="K61" i="24"/>
  <c r="K50" i="24"/>
  <c r="K48" i="24"/>
  <c r="K63" i="24"/>
  <c r="K62" i="24"/>
  <c r="K49" i="24"/>
  <c r="K47" i="24"/>
  <c r="L100" i="20"/>
  <c r="K106" i="20"/>
  <c r="H56" i="10"/>
  <c r="M127" i="20"/>
  <c r="L33" i="20"/>
  <c r="K40" i="20"/>
  <c r="P31" i="24"/>
  <c r="Q121" i="24"/>
  <c r="Q122" i="24"/>
  <c r="P122" i="24"/>
  <c r="N139" i="20"/>
  <c r="N138" i="20"/>
  <c r="N141" i="20"/>
  <c r="N140" i="20"/>
  <c r="K136" i="10"/>
  <c r="L136" i="10"/>
  <c r="H162" i="10"/>
  <c r="I162" i="10"/>
  <c r="J162" i="10"/>
  <c r="K162" i="10"/>
  <c r="M24" i="23"/>
  <c r="L25" i="23"/>
  <c r="O99" i="21"/>
  <c r="Q22" i="21"/>
  <c r="S13" i="24"/>
  <c r="L46" i="24"/>
  <c r="M44" i="24"/>
  <c r="J159" i="20"/>
  <c r="K10" i="20"/>
  <c r="P110" i="22"/>
  <c r="K30" i="20"/>
  <c r="L142" i="21"/>
  <c r="L150" i="21"/>
  <c r="N110" i="21"/>
  <c r="M113" i="21"/>
  <c r="L110" i="24"/>
  <c r="K113" i="24"/>
  <c r="I98" i="23"/>
  <c r="I107" i="23"/>
  <c r="I157" i="23"/>
  <c r="N121" i="22"/>
  <c r="M122" i="22"/>
  <c r="R142" i="22"/>
  <c r="K94" i="22"/>
  <c r="K97" i="22"/>
  <c r="K95" i="22"/>
  <c r="K96" i="22"/>
  <c r="O141" i="23"/>
  <c r="O140" i="23"/>
  <c r="O139" i="23"/>
  <c r="O138" i="23"/>
  <c r="L154" i="21"/>
  <c r="K155" i="21"/>
  <c r="N126" i="20"/>
  <c r="N124" i="20"/>
  <c r="N125" i="20"/>
  <c r="N123" i="20"/>
  <c r="K18" i="20"/>
  <c r="L13" i="20"/>
  <c r="J94" i="23"/>
  <c r="J97" i="23"/>
  <c r="J96" i="23"/>
  <c r="J95" i="23"/>
  <c r="R110" i="20"/>
  <c r="Q113" i="20"/>
  <c r="Q142" i="22"/>
  <c r="I25" i="1"/>
  <c r="M65" i="23"/>
  <c r="L68" i="23"/>
  <c r="J97" i="21"/>
  <c r="J95" i="21"/>
  <c r="J94" i="21"/>
  <c r="J96" i="21"/>
  <c r="L82" i="22"/>
  <c r="K86" i="22"/>
  <c r="L29" i="20"/>
  <c r="L26" i="20"/>
  <c r="L27" i="20"/>
  <c r="L28" i="20"/>
  <c r="J94" i="24"/>
  <c r="J97" i="24"/>
  <c r="J96" i="24"/>
  <c r="J95" i="24"/>
  <c r="M84" i="20"/>
  <c r="L86" i="20"/>
  <c r="L82" i="23"/>
  <c r="K86" i="23"/>
  <c r="L14" i="10"/>
  <c r="L192" i="10"/>
  <c r="M100" i="21"/>
  <c r="L106" i="21"/>
  <c r="M145" i="20"/>
  <c r="L149" i="20"/>
  <c r="L150" i="20"/>
  <c r="M41" i="10"/>
  <c r="M142" i="20"/>
  <c r="O22" i="22"/>
  <c r="N25" i="22"/>
  <c r="I14" i="1"/>
  <c r="I113" i="1"/>
  <c r="J10" i="1"/>
  <c r="J14" i="1"/>
  <c r="J34" i="1"/>
  <c r="J35" i="1"/>
  <c r="J111" i="1"/>
  <c r="J113" i="1"/>
  <c r="N99" i="22"/>
  <c r="M106" i="22"/>
  <c r="L57" i="23"/>
  <c r="K59" i="23"/>
  <c r="L30" i="24"/>
  <c r="N129" i="22"/>
  <c r="O128" i="22"/>
  <c r="K27" i="21"/>
  <c r="K28" i="21"/>
  <c r="K29" i="21"/>
  <c r="K26" i="21"/>
  <c r="O124" i="21"/>
  <c r="O126" i="21"/>
  <c r="O125" i="21"/>
  <c r="O123" i="21"/>
  <c r="O127" i="21"/>
  <c r="Q31" i="20"/>
  <c r="M153" i="24"/>
  <c r="L155" i="24"/>
  <c r="M145" i="22"/>
  <c r="L149" i="22"/>
  <c r="L150" i="22"/>
  <c r="S142" i="22"/>
  <c r="N15" i="23"/>
  <c r="M18" i="23"/>
  <c r="M39" i="24"/>
  <c r="L40" i="24"/>
  <c r="N25" i="24"/>
  <c r="O22" i="24"/>
  <c r="K113" i="23"/>
  <c r="L111" i="23"/>
  <c r="P155" i="22"/>
  <c r="Q153" i="22"/>
  <c r="O123" i="24"/>
  <c r="O124" i="24"/>
  <c r="O126" i="24"/>
  <c r="O125" i="24"/>
  <c r="O137" i="20"/>
  <c r="P136" i="20"/>
  <c r="N144" i="23"/>
  <c r="M149" i="23"/>
  <c r="L143" i="24"/>
  <c r="K149" i="24"/>
  <c r="K150" i="24"/>
  <c r="K26" i="23"/>
  <c r="K27" i="23"/>
  <c r="K29" i="23"/>
  <c r="K28" i="23"/>
  <c r="M137" i="24"/>
  <c r="N136" i="24"/>
  <c r="N34" i="22"/>
  <c r="O78" i="21"/>
  <c r="O124" i="23"/>
  <c r="O125" i="23"/>
  <c r="O126" i="23"/>
  <c r="O123" i="23"/>
  <c r="N92" i="20"/>
  <c r="M93" i="20"/>
  <c r="Q153" i="20"/>
  <c r="O106" i="23"/>
  <c r="P99" i="23"/>
  <c r="J30" i="23"/>
  <c r="J41" i="23"/>
  <c r="R30" i="23"/>
  <c r="Q143" i="20"/>
  <c r="M138" i="21"/>
  <c r="M139" i="21"/>
  <c r="M141" i="21"/>
  <c r="M140" i="21"/>
  <c r="L30" i="22"/>
  <c r="M111" i="22"/>
  <c r="L113" i="22"/>
  <c r="M27" i="24"/>
  <c r="M28" i="24"/>
  <c r="M29" i="24"/>
  <c r="M26" i="24"/>
  <c r="P143" i="23"/>
  <c r="Q14" i="20"/>
  <c r="P85" i="20"/>
  <c r="L130" i="20"/>
  <c r="N142" i="23"/>
  <c r="M78" i="24"/>
  <c r="L86" i="24"/>
  <c r="Q121" i="23"/>
  <c r="Q122" i="23"/>
  <c r="P122" i="23"/>
  <c r="S121" i="23"/>
  <c r="S122" i="23"/>
  <c r="O99" i="24"/>
  <c r="N106" i="24"/>
  <c r="Q121" i="21"/>
  <c r="P122" i="21"/>
  <c r="I98" i="21"/>
  <c r="I107" i="21"/>
  <c r="P16" i="24"/>
  <c r="O18" i="24"/>
  <c r="Q153" i="21"/>
  <c r="L125" i="22"/>
  <c r="L123" i="22"/>
  <c r="L124" i="22"/>
  <c r="L126" i="22"/>
  <c r="O16" i="22"/>
  <c r="L93" i="22"/>
  <c r="M92" i="22"/>
  <c r="P137" i="23"/>
  <c r="Q136" i="23"/>
  <c r="M129" i="21"/>
  <c r="M130" i="21"/>
  <c r="N128" i="21"/>
  <c r="L85" i="21"/>
  <c r="M14" i="21"/>
  <c r="P31" i="21"/>
  <c r="N127" i="24"/>
  <c r="N130" i="24"/>
  <c r="L13" i="21"/>
  <c r="K18" i="21"/>
  <c r="P121" i="20"/>
  <c r="O122" i="20"/>
  <c r="K93" i="23"/>
  <c r="L92" i="23"/>
  <c r="N155" i="23"/>
  <c r="O153" i="23"/>
  <c r="N127" i="21"/>
  <c r="P143" i="21"/>
  <c r="O149" i="21"/>
  <c r="L89" i="21"/>
  <c r="K93" i="21"/>
  <c r="S121" i="24"/>
  <c r="S122" i="24"/>
  <c r="N24" i="20"/>
  <c r="M25" i="20"/>
  <c r="L89" i="24"/>
  <c r="K93" i="24"/>
  <c r="N127" i="23"/>
  <c r="O63" i="23"/>
  <c r="O49" i="23"/>
  <c r="O61" i="23"/>
  <c r="O47" i="23"/>
  <c r="O48" i="23"/>
  <c r="O62" i="23"/>
  <c r="O50" i="23"/>
  <c r="K127" i="22"/>
  <c r="K130" i="22"/>
  <c r="O78" i="22"/>
  <c r="Q128" i="24"/>
  <c r="P129" i="24"/>
  <c r="J64" i="24"/>
  <c r="J69" i="24"/>
  <c r="J51" i="24"/>
  <c r="J54" i="24"/>
  <c r="K98" i="20"/>
  <c r="N33" i="23"/>
  <c r="M40" i="23"/>
  <c r="J30" i="21"/>
  <c r="L139" i="24"/>
  <c r="L138" i="24"/>
  <c r="L141" i="24"/>
  <c r="L140" i="24"/>
  <c r="I98" i="24"/>
  <c r="I107" i="24"/>
  <c r="I157" i="24"/>
  <c r="M28" i="22"/>
  <c r="M27" i="22"/>
  <c r="M26" i="22"/>
  <c r="M29" i="22"/>
  <c r="N51" i="23"/>
  <c r="J60" i="23"/>
  <c r="M129" i="20"/>
  <c r="N128" i="20"/>
  <c r="L97" i="20"/>
  <c r="L96" i="20"/>
  <c r="L94" i="20"/>
  <c r="L95" i="20"/>
  <c r="L98" i="20"/>
  <c r="J27" i="25"/>
  <c r="J29" i="25"/>
  <c r="J26" i="25"/>
  <c r="J84" i="1"/>
  <c r="M66" i="24"/>
  <c r="L68" i="24"/>
  <c r="M23" i="21"/>
  <c r="L25" i="21"/>
  <c r="N78" i="23"/>
  <c r="J147" i="25"/>
  <c r="J150" i="25"/>
  <c r="J151" i="25"/>
  <c r="M150" i="23"/>
  <c r="K51" i="24"/>
  <c r="K54" i="24"/>
  <c r="Q57" i="24"/>
  <c r="P59" i="24"/>
  <c r="P60" i="24"/>
  <c r="L127" i="22"/>
  <c r="L130" i="22"/>
  <c r="M130" i="20"/>
  <c r="O128" i="23"/>
  <c r="N129" i="23"/>
  <c r="N130" i="23"/>
  <c r="N13" i="22"/>
  <c r="M18" i="22"/>
  <c r="O142" i="23"/>
  <c r="K41" i="20"/>
  <c r="O33" i="23"/>
  <c r="N40" i="23"/>
  <c r="O51" i="23"/>
  <c r="M89" i="24"/>
  <c r="L93" i="24"/>
  <c r="M85" i="21"/>
  <c r="M86" i="21"/>
  <c r="N14" i="21"/>
  <c r="O128" i="21"/>
  <c r="N129" i="21"/>
  <c r="N130" i="21"/>
  <c r="P78" i="21"/>
  <c r="N137" i="24"/>
  <c r="O136" i="24"/>
  <c r="O144" i="23"/>
  <c r="N149" i="23"/>
  <c r="O25" i="24"/>
  <c r="P22" i="24"/>
  <c r="N18" i="23"/>
  <c r="O15" i="23"/>
  <c r="Q144" i="22"/>
  <c r="N139" i="21"/>
  <c r="N140" i="21"/>
  <c r="N138" i="21"/>
  <c r="N141" i="21"/>
  <c r="M29" i="20"/>
  <c r="M26" i="20"/>
  <c r="M27" i="20"/>
  <c r="M28" i="20"/>
  <c r="K95" i="23"/>
  <c r="K97" i="23"/>
  <c r="K94" i="23"/>
  <c r="K96" i="23"/>
  <c r="O123" i="20"/>
  <c r="O124" i="20"/>
  <c r="O126" i="20"/>
  <c r="O125" i="20"/>
  <c r="M13" i="21"/>
  <c r="L18" i="21"/>
  <c r="Q99" i="23"/>
  <c r="P106" i="23"/>
  <c r="O127" i="24"/>
  <c r="O130" i="24"/>
  <c r="N28" i="24"/>
  <c r="N26" i="24"/>
  <c r="N29" i="24"/>
  <c r="N27" i="24"/>
  <c r="K30" i="21"/>
  <c r="N145" i="20"/>
  <c r="M149" i="20"/>
  <c r="M150" i="20"/>
  <c r="N84" i="20"/>
  <c r="M86" i="20"/>
  <c r="J98" i="24"/>
  <c r="J107" i="24"/>
  <c r="J157" i="24"/>
  <c r="L30" i="20"/>
  <c r="J98" i="23"/>
  <c r="J107" i="23"/>
  <c r="L27" i="21"/>
  <c r="L29" i="21"/>
  <c r="L26" i="21"/>
  <c r="L28" i="21"/>
  <c r="N66" i="24"/>
  <c r="M68" i="24"/>
  <c r="J30" i="25"/>
  <c r="O128" i="20"/>
  <c r="N129" i="20"/>
  <c r="P78" i="22"/>
  <c r="O24" i="20"/>
  <c r="N25" i="20"/>
  <c r="M89" i="21"/>
  <c r="L93" i="21"/>
  <c r="Q143" i="21"/>
  <c r="P149" i="21"/>
  <c r="P122" i="20"/>
  <c r="Q121" i="20"/>
  <c r="P138" i="23"/>
  <c r="P139" i="23"/>
  <c r="P140" i="23"/>
  <c r="P141" i="23"/>
  <c r="N92" i="22"/>
  <c r="M93" i="22"/>
  <c r="P126" i="21"/>
  <c r="P123" i="21"/>
  <c r="P124" i="21"/>
  <c r="P125" i="21"/>
  <c r="P126" i="23"/>
  <c r="P125" i="23"/>
  <c r="P123" i="23"/>
  <c r="P124" i="23"/>
  <c r="N78" i="24"/>
  <c r="M86" i="24"/>
  <c r="M142" i="21"/>
  <c r="M150" i="21"/>
  <c r="R143" i="20"/>
  <c r="M111" i="23"/>
  <c r="L113" i="23"/>
  <c r="M155" i="24"/>
  <c r="N153" i="24"/>
  <c r="M174" i="10"/>
  <c r="O129" i="22"/>
  <c r="P128" i="22"/>
  <c r="K60" i="23"/>
  <c r="K64" i="23"/>
  <c r="K69" i="23"/>
  <c r="O99" i="22"/>
  <c r="N106" i="22"/>
  <c r="I98" i="1"/>
  <c r="I104" i="1"/>
  <c r="N29" i="22"/>
  <c r="N26" i="22"/>
  <c r="N28" i="22"/>
  <c r="N27" i="22"/>
  <c r="N100" i="21"/>
  <c r="M106" i="21"/>
  <c r="M82" i="23"/>
  <c r="L86" i="23"/>
  <c r="L18" i="20"/>
  <c r="M13" i="20"/>
  <c r="L113" i="24"/>
  <c r="M110" i="24"/>
  <c r="N113" i="21"/>
  <c r="O110" i="21"/>
  <c r="Q110" i="22"/>
  <c r="P99" i="21"/>
  <c r="N24" i="23"/>
  <c r="M25" i="23"/>
  <c r="P124" i="24"/>
  <c r="P123" i="24"/>
  <c r="P126" i="24"/>
  <c r="P125" i="24"/>
  <c r="M33" i="20"/>
  <c r="L40" i="20"/>
  <c r="L41" i="20"/>
  <c r="M100" i="20"/>
  <c r="L106" i="20"/>
  <c r="L107" i="20"/>
  <c r="N154" i="20"/>
  <c r="M155" i="20"/>
  <c r="P52" i="24"/>
  <c r="O53" i="24"/>
  <c r="M30" i="22"/>
  <c r="Q129" i="24"/>
  <c r="S128" i="24"/>
  <c r="S129" i="24"/>
  <c r="L93" i="23"/>
  <c r="M92" i="23"/>
  <c r="P16" i="22"/>
  <c r="P99" i="24"/>
  <c r="O106" i="24"/>
  <c r="R153" i="20"/>
  <c r="M94" i="20"/>
  <c r="M95" i="20"/>
  <c r="M97" i="20"/>
  <c r="M96" i="20"/>
  <c r="M143" i="24"/>
  <c r="L149" i="24"/>
  <c r="O138" i="20"/>
  <c r="O141" i="20"/>
  <c r="O140" i="20"/>
  <c r="O139" i="20"/>
  <c r="Q155" i="22"/>
  <c r="R153" i="22"/>
  <c r="N39" i="24"/>
  <c r="M40" i="24"/>
  <c r="S31" i="20"/>
  <c r="N122" i="22"/>
  <c r="O121" i="22"/>
  <c r="N44" i="24"/>
  <c r="M46" i="24"/>
  <c r="Q31" i="24"/>
  <c r="R44" i="23"/>
  <c r="R46" i="23"/>
  <c r="Q46" i="23"/>
  <c r="M52" i="23"/>
  <c r="L53" i="23"/>
  <c r="L54" i="23"/>
  <c r="J64" i="23"/>
  <c r="J69" i="23"/>
  <c r="J157" i="23"/>
  <c r="K95" i="21"/>
  <c r="K97" i="21"/>
  <c r="K96" i="21"/>
  <c r="K94" i="21"/>
  <c r="L86" i="21"/>
  <c r="Q137" i="23"/>
  <c r="R136" i="23"/>
  <c r="M30" i="24"/>
  <c r="O92" i="20"/>
  <c r="N93" i="20"/>
  <c r="O127" i="23"/>
  <c r="M141" i="24"/>
  <c r="M139" i="24"/>
  <c r="M140" i="24"/>
  <c r="M138" i="24"/>
  <c r="K30" i="23"/>
  <c r="K41" i="23"/>
  <c r="N145" i="22"/>
  <c r="M149" i="22"/>
  <c r="M150" i="22"/>
  <c r="M82" i="22"/>
  <c r="L86" i="22"/>
  <c r="J98" i="21"/>
  <c r="J107" i="21"/>
  <c r="N65" i="23"/>
  <c r="M68" i="23"/>
  <c r="N127" i="20"/>
  <c r="N130" i="20"/>
  <c r="M154" i="21"/>
  <c r="L155" i="21"/>
  <c r="M34" i="10"/>
  <c r="M38" i="10"/>
  <c r="M42" i="10"/>
  <c r="L61" i="24"/>
  <c r="L47" i="24"/>
  <c r="L49" i="24"/>
  <c r="L63" i="24"/>
  <c r="L62" i="24"/>
  <c r="L48" i="24"/>
  <c r="L50" i="24"/>
  <c r="L26" i="23"/>
  <c r="L27" i="23"/>
  <c r="L28" i="23"/>
  <c r="L29" i="23"/>
  <c r="K107" i="20"/>
  <c r="K157" i="20"/>
  <c r="K159" i="20"/>
  <c r="L10" i="20"/>
  <c r="O78" i="23"/>
  <c r="N23" i="21"/>
  <c r="M25" i="21"/>
  <c r="L142" i="24"/>
  <c r="L150" i="24"/>
  <c r="K97" i="24"/>
  <c r="K96" i="24"/>
  <c r="K95" i="24"/>
  <c r="K94" i="24"/>
  <c r="O155" i="23"/>
  <c r="P153" i="23"/>
  <c r="Q31" i="21"/>
  <c r="S31" i="21"/>
  <c r="L96" i="22"/>
  <c r="L94" i="22"/>
  <c r="L95" i="22"/>
  <c r="L97" i="22"/>
  <c r="R153" i="21"/>
  <c r="Q16" i="24"/>
  <c r="P18" i="24"/>
  <c r="Q122" i="21"/>
  <c r="S121" i="21"/>
  <c r="S122" i="21"/>
  <c r="Q124" i="23"/>
  <c r="S124" i="23"/>
  <c r="Q123" i="23"/>
  <c r="S123" i="23"/>
  <c r="Q126" i="23"/>
  <c r="S126" i="23"/>
  <c r="Q125" i="23"/>
  <c r="S125" i="23"/>
  <c r="N150" i="23"/>
  <c r="Q85" i="20"/>
  <c r="R14" i="20"/>
  <c r="Q143" i="23"/>
  <c r="N111" i="22"/>
  <c r="M113" i="22"/>
  <c r="S153" i="20"/>
  <c r="O34" i="22"/>
  <c r="P137" i="20"/>
  <c r="Q136" i="20"/>
  <c r="L41" i="24"/>
  <c r="M57" i="23"/>
  <c r="L59" i="23"/>
  <c r="O25" i="22"/>
  <c r="P22" i="22"/>
  <c r="R113" i="20"/>
  <c r="S110" i="20"/>
  <c r="S113" i="20"/>
  <c r="K98" i="22"/>
  <c r="K107" i="22"/>
  <c r="M126" i="22"/>
  <c r="M124" i="22"/>
  <c r="M123" i="22"/>
  <c r="M125" i="22"/>
  <c r="R22" i="21"/>
  <c r="N142" i="20"/>
  <c r="Q124" i="24"/>
  <c r="S124" i="24"/>
  <c r="Q123" i="24"/>
  <c r="Q126" i="24"/>
  <c r="S126" i="24"/>
  <c r="Q125" i="24"/>
  <c r="S125" i="24"/>
  <c r="K64" i="24"/>
  <c r="K69" i="24"/>
  <c r="P48" i="23"/>
  <c r="P49" i="23"/>
  <c r="P62" i="23"/>
  <c r="P61" i="23"/>
  <c r="P63" i="23"/>
  <c r="P47" i="23"/>
  <c r="P50" i="23"/>
  <c r="P136" i="21"/>
  <c r="O137" i="21"/>
  <c r="Q59" i="24"/>
  <c r="Q60" i="24"/>
  <c r="R57" i="24"/>
  <c r="L133" i="10"/>
  <c r="N30" i="22"/>
  <c r="S44" i="23"/>
  <c r="S46" i="23"/>
  <c r="O13" i="22"/>
  <c r="N18" i="22"/>
  <c r="O129" i="23"/>
  <c r="O130" i="23"/>
  <c r="P128" i="23"/>
  <c r="P127" i="23"/>
  <c r="M30" i="20"/>
  <c r="P34" i="22"/>
  <c r="Q126" i="21"/>
  <c r="S126" i="21"/>
  <c r="Q125" i="21"/>
  <c r="S125" i="21"/>
  <c r="Q123" i="21"/>
  <c r="Q124" i="21"/>
  <c r="S124" i="21"/>
  <c r="R16" i="24"/>
  <c r="R18" i="24"/>
  <c r="Q18" i="24"/>
  <c r="S16" i="24"/>
  <c r="S18" i="24"/>
  <c r="Q136" i="21"/>
  <c r="P137" i="21"/>
  <c r="Q127" i="24"/>
  <c r="Q130" i="24"/>
  <c r="P25" i="22"/>
  <c r="Q22" i="22"/>
  <c r="L60" i="23"/>
  <c r="R136" i="20"/>
  <c r="R137" i="20"/>
  <c r="Q137" i="20"/>
  <c r="R143" i="23"/>
  <c r="S143" i="23"/>
  <c r="L98" i="22"/>
  <c r="L107" i="22"/>
  <c r="Q153" i="23"/>
  <c r="P155" i="23"/>
  <c r="O23" i="21"/>
  <c r="N25" i="21"/>
  <c r="N154" i="21"/>
  <c r="M155" i="21"/>
  <c r="S127" i="23"/>
  <c r="Q62" i="23"/>
  <c r="Q50" i="23"/>
  <c r="Q63" i="23"/>
  <c r="Q49" i="23"/>
  <c r="Q61" i="23"/>
  <c r="Q47" i="23"/>
  <c r="Q48" i="23"/>
  <c r="O39" i="24"/>
  <c r="N40" i="24"/>
  <c r="N92" i="23"/>
  <c r="M93" i="23"/>
  <c r="O154" i="20"/>
  <c r="N155" i="20"/>
  <c r="N100" i="20"/>
  <c r="M106" i="20"/>
  <c r="P127" i="24"/>
  <c r="P130" i="24"/>
  <c r="S123" i="24"/>
  <c r="S127" i="24"/>
  <c r="S130" i="24"/>
  <c r="O24" i="23"/>
  <c r="N25" i="23"/>
  <c r="S143" i="20"/>
  <c r="R143" i="21"/>
  <c r="R149" i="21"/>
  <c r="Q149" i="21"/>
  <c r="S143" i="21"/>
  <c r="S149" i="21"/>
  <c r="L30" i="21"/>
  <c r="N30" i="24"/>
  <c r="N13" i="21"/>
  <c r="M18" i="21"/>
  <c r="R144" i="22"/>
  <c r="O29" i="24"/>
  <c r="O26" i="24"/>
  <c r="O28" i="24"/>
  <c r="O27" i="24"/>
  <c r="N141" i="24"/>
  <c r="N139" i="24"/>
  <c r="N140" i="24"/>
  <c r="N138" i="24"/>
  <c r="N89" i="24"/>
  <c r="M93" i="24"/>
  <c r="M127" i="22"/>
  <c r="M130" i="22"/>
  <c r="O26" i="22"/>
  <c r="O28" i="22"/>
  <c r="O27" i="22"/>
  <c r="O29" i="22"/>
  <c r="N57" i="23"/>
  <c r="M59" i="23"/>
  <c r="P141" i="20"/>
  <c r="P139" i="20"/>
  <c r="P140" i="20"/>
  <c r="P138" i="20"/>
  <c r="O111" i="22"/>
  <c r="N113" i="22"/>
  <c r="R85" i="20"/>
  <c r="S85" i="20"/>
  <c r="S14" i="20"/>
  <c r="Q127" i="23"/>
  <c r="K98" i="24"/>
  <c r="K107" i="24"/>
  <c r="K157" i="24"/>
  <c r="L30" i="23"/>
  <c r="L41" i="23"/>
  <c r="L51" i="24"/>
  <c r="L54" i="24"/>
  <c r="O145" i="22"/>
  <c r="N149" i="22"/>
  <c r="N150" i="22"/>
  <c r="R137" i="23"/>
  <c r="S136" i="23"/>
  <c r="S137" i="23"/>
  <c r="R48" i="23"/>
  <c r="R62" i="23"/>
  <c r="S62" i="23"/>
  <c r="R50" i="23"/>
  <c r="S50" i="23"/>
  <c r="R63" i="23"/>
  <c r="R47" i="23"/>
  <c r="R61" i="23"/>
  <c r="S61" i="23"/>
  <c r="R49" i="23"/>
  <c r="O122" i="22"/>
  <c r="P121" i="22"/>
  <c r="R155" i="22"/>
  <c r="S153" i="22"/>
  <c r="S155" i="22"/>
  <c r="N143" i="24"/>
  <c r="M149" i="24"/>
  <c r="M98" i="20"/>
  <c r="P106" i="24"/>
  <c r="Q99" i="24"/>
  <c r="L96" i="23"/>
  <c r="L95" i="23"/>
  <c r="L94" i="23"/>
  <c r="L97" i="23"/>
  <c r="L157" i="20"/>
  <c r="L159" i="20"/>
  <c r="M10" i="20"/>
  <c r="R110" i="22"/>
  <c r="M113" i="24"/>
  <c r="N110" i="24"/>
  <c r="Q128" i="22"/>
  <c r="P129" i="22"/>
  <c r="O78" i="24"/>
  <c r="N86" i="24"/>
  <c r="P142" i="23"/>
  <c r="L95" i="21"/>
  <c r="L97" i="21"/>
  <c r="L94" i="21"/>
  <c r="L96" i="21"/>
  <c r="O145" i="20"/>
  <c r="N149" i="20"/>
  <c r="N150" i="20"/>
  <c r="O127" i="20"/>
  <c r="N142" i="21"/>
  <c r="N150" i="21"/>
  <c r="O18" i="23"/>
  <c r="P15" i="23"/>
  <c r="P128" i="21"/>
  <c r="O129" i="21"/>
  <c r="O130" i="21"/>
  <c r="L64" i="24"/>
  <c r="L69" i="24"/>
  <c r="O65" i="23"/>
  <c r="N68" i="23"/>
  <c r="N82" i="22"/>
  <c r="M86" i="22"/>
  <c r="N97" i="20"/>
  <c r="N94" i="20"/>
  <c r="N96" i="20"/>
  <c r="N95" i="20"/>
  <c r="Q139" i="23"/>
  <c r="Q140" i="23"/>
  <c r="Q141" i="23"/>
  <c r="Q138" i="23"/>
  <c r="N52" i="23"/>
  <c r="M53" i="23"/>
  <c r="M54" i="23"/>
  <c r="M61" i="24"/>
  <c r="M48" i="24"/>
  <c r="M47" i="24"/>
  <c r="M49" i="24"/>
  <c r="M62" i="24"/>
  <c r="M50" i="24"/>
  <c r="M63" i="24"/>
  <c r="N124" i="22"/>
  <c r="N123" i="22"/>
  <c r="N125" i="22"/>
  <c r="N126" i="22"/>
  <c r="Q16" i="22"/>
  <c r="P53" i="24"/>
  <c r="Q52" i="24"/>
  <c r="N33" i="20"/>
  <c r="M40" i="20"/>
  <c r="M41" i="20"/>
  <c r="Q99" i="21"/>
  <c r="O113" i="21"/>
  <c r="P110" i="21"/>
  <c r="M96" i="22"/>
  <c r="M97" i="22"/>
  <c r="M95" i="22"/>
  <c r="M94" i="22"/>
  <c r="Q122" i="20"/>
  <c r="S121" i="20"/>
  <c r="S122" i="20"/>
  <c r="N89" i="21"/>
  <c r="M93" i="21"/>
  <c r="N26" i="20"/>
  <c r="N27" i="20"/>
  <c r="N29" i="20"/>
  <c r="N28" i="20"/>
  <c r="Q78" i="22"/>
  <c r="P128" i="20"/>
  <c r="O129" i="20"/>
  <c r="O66" i="24"/>
  <c r="N68" i="24"/>
  <c r="O84" i="20"/>
  <c r="N86" i="20"/>
  <c r="P144" i="23"/>
  <c r="O149" i="23"/>
  <c r="O150" i="23"/>
  <c r="Q78" i="21"/>
  <c r="O14" i="21"/>
  <c r="N85" i="21"/>
  <c r="P33" i="23"/>
  <c r="O40" i="23"/>
  <c r="O138" i="21"/>
  <c r="O140" i="21"/>
  <c r="O139" i="21"/>
  <c r="O141" i="21"/>
  <c r="P51" i="23"/>
  <c r="R25" i="21"/>
  <c r="S22" i="21"/>
  <c r="S136" i="20"/>
  <c r="S137" i="20"/>
  <c r="S153" i="21"/>
  <c r="M28" i="21"/>
  <c r="M27" i="21"/>
  <c r="M29" i="21"/>
  <c r="M26" i="21"/>
  <c r="P78" i="23"/>
  <c r="S144" i="22"/>
  <c r="M142" i="24"/>
  <c r="M150" i="24"/>
  <c r="P92" i="20"/>
  <c r="O93" i="20"/>
  <c r="K98" i="21"/>
  <c r="K107" i="21"/>
  <c r="O44" i="24"/>
  <c r="N46" i="24"/>
  <c r="M41" i="24"/>
  <c r="O142" i="20"/>
  <c r="M28" i="23"/>
  <c r="M26" i="23"/>
  <c r="M29" i="23"/>
  <c r="M27" i="23"/>
  <c r="M18" i="20"/>
  <c r="N13" i="20"/>
  <c r="N82" i="23"/>
  <c r="M86" i="23"/>
  <c r="O100" i="21"/>
  <c r="N106" i="21"/>
  <c r="P99" i="22"/>
  <c r="O106" i="22"/>
  <c r="O153" i="24"/>
  <c r="N155" i="24"/>
  <c r="N111" i="23"/>
  <c r="M113" i="23"/>
  <c r="P127" i="21"/>
  <c r="O92" i="22"/>
  <c r="N93" i="22"/>
  <c r="P126" i="20"/>
  <c r="P125" i="20"/>
  <c r="P123" i="20"/>
  <c r="P124" i="20"/>
  <c r="P24" i="20"/>
  <c r="O25" i="20"/>
  <c r="Q106" i="23"/>
  <c r="R99" i="23"/>
  <c r="R106" i="23"/>
  <c r="K98" i="23"/>
  <c r="K107" i="23"/>
  <c r="K157" i="23"/>
  <c r="P25" i="24"/>
  <c r="Q22" i="24"/>
  <c r="P136" i="24"/>
  <c r="O137" i="24"/>
  <c r="L96" i="24"/>
  <c r="L94" i="24"/>
  <c r="L97" i="24"/>
  <c r="L95" i="24"/>
  <c r="S31" i="24"/>
  <c r="S57" i="24"/>
  <c r="S59" i="24"/>
  <c r="R59" i="24"/>
  <c r="R60" i="24"/>
  <c r="S60" i="24"/>
  <c r="P13" i="22"/>
  <c r="O18" i="22"/>
  <c r="S99" i="23"/>
  <c r="S106" i="23"/>
  <c r="M30" i="21"/>
  <c r="Q128" i="23"/>
  <c r="Q129" i="23"/>
  <c r="Q130" i="23"/>
  <c r="P129" i="23"/>
  <c r="P130" i="23"/>
  <c r="S128" i="23"/>
  <c r="S129" i="23"/>
  <c r="S130" i="23"/>
  <c r="P127" i="20"/>
  <c r="P92" i="22"/>
  <c r="O93" i="22"/>
  <c r="O33" i="20"/>
  <c r="N40" i="20"/>
  <c r="P78" i="24"/>
  <c r="O86" i="24"/>
  <c r="P111" i="22"/>
  <c r="O113" i="22"/>
  <c r="N93" i="23"/>
  <c r="O92" i="23"/>
  <c r="N28" i="21"/>
  <c r="N29" i="21"/>
  <c r="N26" i="21"/>
  <c r="N27" i="21"/>
  <c r="Q139" i="20"/>
  <c r="Q140" i="20"/>
  <c r="Q141" i="20"/>
  <c r="Q138" i="20"/>
  <c r="P100" i="21"/>
  <c r="O106" i="21"/>
  <c r="R29" i="21"/>
  <c r="R26" i="21"/>
  <c r="R27" i="21"/>
  <c r="R28" i="21"/>
  <c r="P129" i="20"/>
  <c r="Q128" i="20"/>
  <c r="N30" i="20"/>
  <c r="R99" i="21"/>
  <c r="O82" i="22"/>
  <c r="N86" i="22"/>
  <c r="R99" i="24"/>
  <c r="R106" i="24"/>
  <c r="Q106" i="24"/>
  <c r="S99" i="24"/>
  <c r="S106" i="24"/>
  <c r="N142" i="24"/>
  <c r="R141" i="20"/>
  <c r="S141" i="20"/>
  <c r="R140" i="20"/>
  <c r="R138" i="20"/>
  <c r="R139" i="20"/>
  <c r="S139" i="20"/>
  <c r="L98" i="24"/>
  <c r="L107" i="24"/>
  <c r="L157" i="24"/>
  <c r="P137" i="24"/>
  <c r="Q136" i="24"/>
  <c r="O26" i="20"/>
  <c r="O28" i="20"/>
  <c r="O29" i="20"/>
  <c r="O27" i="20"/>
  <c r="P153" i="24"/>
  <c r="O155" i="24"/>
  <c r="O13" i="20"/>
  <c r="N18" i="20"/>
  <c r="M30" i="23"/>
  <c r="M41" i="23"/>
  <c r="N47" i="24"/>
  <c r="N61" i="24"/>
  <c r="N50" i="24"/>
  <c r="N63" i="24"/>
  <c r="N62" i="24"/>
  <c r="N48" i="24"/>
  <c r="N49" i="24"/>
  <c r="O95" i="20"/>
  <c r="O96" i="20"/>
  <c r="O94" i="20"/>
  <c r="O97" i="20"/>
  <c r="O142" i="21"/>
  <c r="O150" i="21"/>
  <c r="M96" i="21"/>
  <c r="M95" i="21"/>
  <c r="M97" i="21"/>
  <c r="M94" i="21"/>
  <c r="M98" i="22"/>
  <c r="M107" i="22"/>
  <c r="Q110" i="21"/>
  <c r="P113" i="21"/>
  <c r="N127" i="22"/>
  <c r="N130" i="22"/>
  <c r="O52" i="23"/>
  <c r="N53" i="23"/>
  <c r="N54" i="23"/>
  <c r="Q142" i="23"/>
  <c r="S110" i="22"/>
  <c r="L98" i="23"/>
  <c r="L107" i="23"/>
  <c r="R51" i="23"/>
  <c r="S48" i="23"/>
  <c r="P145" i="22"/>
  <c r="O149" i="22"/>
  <c r="O150" i="22"/>
  <c r="N59" i="23"/>
  <c r="O57" i="23"/>
  <c r="O30" i="22"/>
  <c r="M94" i="24"/>
  <c r="M95" i="24"/>
  <c r="M96" i="24"/>
  <c r="M97" i="24"/>
  <c r="O13" i="21"/>
  <c r="N18" i="21"/>
  <c r="M107" i="20"/>
  <c r="P39" i="24"/>
  <c r="O40" i="24"/>
  <c r="O154" i="21"/>
  <c r="N155" i="21"/>
  <c r="R22" i="22"/>
  <c r="Q25" i="22"/>
  <c r="P140" i="21"/>
  <c r="P139" i="21"/>
  <c r="P141" i="21"/>
  <c r="P138" i="21"/>
  <c r="Q34" i="22"/>
  <c r="P28" i="24"/>
  <c r="P29" i="24"/>
  <c r="P26" i="24"/>
  <c r="P27" i="24"/>
  <c r="O82" i="23"/>
  <c r="N86" i="23"/>
  <c r="P14" i="21"/>
  <c r="O85" i="21"/>
  <c r="O86" i="21"/>
  <c r="P84" i="20"/>
  <c r="O86" i="20"/>
  <c r="P66" i="24"/>
  <c r="O68" i="24"/>
  <c r="R78" i="22"/>
  <c r="R52" i="24"/>
  <c r="R53" i="24"/>
  <c r="Q53" i="24"/>
  <c r="Q15" i="23"/>
  <c r="P18" i="23"/>
  <c r="O110" i="24"/>
  <c r="N113" i="24"/>
  <c r="O124" i="22"/>
  <c r="O126" i="22"/>
  <c r="O125" i="22"/>
  <c r="O123" i="22"/>
  <c r="R141" i="23"/>
  <c r="S141" i="23"/>
  <c r="R138" i="23"/>
  <c r="R139" i="23"/>
  <c r="S139" i="23"/>
  <c r="R140" i="23"/>
  <c r="S140" i="23"/>
  <c r="N28" i="23"/>
  <c r="N27" i="23"/>
  <c r="N29" i="23"/>
  <c r="N26" i="23"/>
  <c r="P154" i="20"/>
  <c r="O155" i="20"/>
  <c r="L64" i="23"/>
  <c r="L69" i="23"/>
  <c r="L157" i="23"/>
  <c r="O138" i="24"/>
  <c r="O141" i="24"/>
  <c r="O140" i="24"/>
  <c r="O139" i="24"/>
  <c r="Q144" i="23"/>
  <c r="P149" i="23"/>
  <c r="P150" i="23"/>
  <c r="Q125" i="20"/>
  <c r="S125" i="20"/>
  <c r="Q124" i="20"/>
  <c r="S124" i="20"/>
  <c r="Q126" i="20"/>
  <c r="S126" i="20"/>
  <c r="Q123" i="20"/>
  <c r="S123" i="20"/>
  <c r="M64" i="24"/>
  <c r="M69" i="24"/>
  <c r="L98" i="21"/>
  <c r="L107" i="21"/>
  <c r="M60" i="23"/>
  <c r="M64" i="23"/>
  <c r="M69" i="23"/>
  <c r="P24" i="23"/>
  <c r="O25" i="23"/>
  <c r="N41" i="24"/>
  <c r="Q51" i="23"/>
  <c r="S47" i="23"/>
  <c r="P23" i="21"/>
  <c r="O25" i="21"/>
  <c r="R153" i="23"/>
  <c r="Q155" i="23"/>
  <c r="Q127" i="21"/>
  <c r="S123" i="21"/>
  <c r="S127" i="21"/>
  <c r="Q25" i="24"/>
  <c r="R22" i="24"/>
  <c r="R25" i="24"/>
  <c r="Q24" i="20"/>
  <c r="P25" i="20"/>
  <c r="N97" i="22"/>
  <c r="N94" i="22"/>
  <c r="N95" i="22"/>
  <c r="N96" i="22"/>
  <c r="O111" i="23"/>
  <c r="N113" i="23"/>
  <c r="P106" i="22"/>
  <c r="Q99" i="22"/>
  <c r="O46" i="24"/>
  <c r="P44" i="24"/>
  <c r="Q92" i="20"/>
  <c r="P93" i="20"/>
  <c r="Q78" i="23"/>
  <c r="Q33" i="23"/>
  <c r="P40" i="23"/>
  <c r="N86" i="21"/>
  <c r="R78" i="21"/>
  <c r="O89" i="21"/>
  <c r="N93" i="21"/>
  <c r="M157" i="20"/>
  <c r="M159" i="20"/>
  <c r="N10" i="20"/>
  <c r="R16" i="22"/>
  <c r="M51" i="24"/>
  <c r="M54" i="24"/>
  <c r="N98" i="20"/>
  <c r="P65" i="23"/>
  <c r="O68" i="23"/>
  <c r="P129" i="21"/>
  <c r="P130" i="21"/>
  <c r="Q128" i="21"/>
  <c r="O130" i="20"/>
  <c r="P145" i="20"/>
  <c r="O149" i="20"/>
  <c r="O150" i="20"/>
  <c r="Q129" i="22"/>
  <c r="S128" i="22"/>
  <c r="S129" i="22"/>
  <c r="O143" i="24"/>
  <c r="N149" i="24"/>
  <c r="Q121" i="22"/>
  <c r="Q122" i="22"/>
  <c r="P122" i="22"/>
  <c r="S49" i="23"/>
  <c r="S63" i="23"/>
  <c r="P142" i="20"/>
  <c r="O89" i="24"/>
  <c r="N93" i="24"/>
  <c r="O30" i="24"/>
  <c r="O100" i="20"/>
  <c r="N106" i="20"/>
  <c r="N107" i="20"/>
  <c r="M96" i="23"/>
  <c r="M95" i="23"/>
  <c r="M94" i="23"/>
  <c r="M97" i="23"/>
  <c r="P29" i="22"/>
  <c r="P27" i="22"/>
  <c r="P26" i="22"/>
  <c r="P28" i="22"/>
  <c r="R136" i="21"/>
  <c r="Q137" i="21"/>
  <c r="M98" i="23"/>
  <c r="M107" i="23"/>
  <c r="N64" i="24"/>
  <c r="N69" i="24"/>
  <c r="O30" i="20"/>
  <c r="N150" i="24"/>
  <c r="Q13" i="22"/>
  <c r="P18" i="22"/>
  <c r="O127" i="22"/>
  <c r="O130" i="22"/>
  <c r="P130" i="20"/>
  <c r="N97" i="24"/>
  <c r="N96" i="24"/>
  <c r="N94" i="24"/>
  <c r="N95" i="24"/>
  <c r="Q124" i="22"/>
  <c r="Q125" i="22"/>
  <c r="Q123" i="22"/>
  <c r="Q126" i="22"/>
  <c r="Q145" i="20"/>
  <c r="P149" i="20"/>
  <c r="R33" i="23"/>
  <c r="Q40" i="23"/>
  <c r="P111" i="23"/>
  <c r="O113" i="23"/>
  <c r="R28" i="24"/>
  <c r="R26" i="24"/>
  <c r="R29" i="24"/>
  <c r="R27" i="24"/>
  <c r="R155" i="23"/>
  <c r="S153" i="23"/>
  <c r="S155" i="23"/>
  <c r="O28" i="23"/>
  <c r="O27" i="23"/>
  <c r="O29" i="23"/>
  <c r="O26" i="23"/>
  <c r="R34" i="22"/>
  <c r="P154" i="21"/>
  <c r="O155" i="21"/>
  <c r="S99" i="21"/>
  <c r="P33" i="20"/>
  <c r="O40" i="20"/>
  <c r="O41" i="20"/>
  <c r="Q44" i="24"/>
  <c r="P46" i="24"/>
  <c r="P29" i="20"/>
  <c r="P26" i="20"/>
  <c r="P27" i="20"/>
  <c r="P28" i="20"/>
  <c r="O26" i="21"/>
  <c r="O28" i="21"/>
  <c r="O27" i="21"/>
  <c r="O29" i="21"/>
  <c r="Q24" i="23"/>
  <c r="P25" i="23"/>
  <c r="R144" i="23"/>
  <c r="Q149" i="23"/>
  <c r="O142" i="24"/>
  <c r="N30" i="23"/>
  <c r="N41" i="23"/>
  <c r="R142" i="23"/>
  <c r="S138" i="23"/>
  <c r="S142" i="23"/>
  <c r="P13" i="21"/>
  <c r="O18" i="21"/>
  <c r="Q153" i="24"/>
  <c r="P155" i="24"/>
  <c r="R30" i="21"/>
  <c r="S121" i="22"/>
  <c r="S122" i="22"/>
  <c r="P143" i="24"/>
  <c r="O149" i="24"/>
  <c r="Q65" i="23"/>
  <c r="P68" i="23"/>
  <c r="S16" i="22"/>
  <c r="N95" i="21"/>
  <c r="N96" i="21"/>
  <c r="N97" i="21"/>
  <c r="N94" i="21"/>
  <c r="P96" i="20"/>
  <c r="P94" i="20"/>
  <c r="P95" i="20"/>
  <c r="P97" i="20"/>
  <c r="O62" i="24"/>
  <c r="O49" i="24"/>
  <c r="O63" i="24"/>
  <c r="O50" i="24"/>
  <c r="O47" i="24"/>
  <c r="O61" i="24"/>
  <c r="O48" i="24"/>
  <c r="Q25" i="20"/>
  <c r="S24" i="20"/>
  <c r="S25" i="20"/>
  <c r="Q23" i="21"/>
  <c r="P25" i="21"/>
  <c r="Q66" i="24"/>
  <c r="P68" i="24"/>
  <c r="Q84" i="20"/>
  <c r="P86" i="20"/>
  <c r="P82" i="23"/>
  <c r="O86" i="23"/>
  <c r="Q28" i="22"/>
  <c r="Q27" i="22"/>
  <c r="Q29" i="22"/>
  <c r="Q26" i="22"/>
  <c r="M98" i="24"/>
  <c r="M107" i="24"/>
  <c r="M157" i="24"/>
  <c r="P57" i="23"/>
  <c r="O59" i="23"/>
  <c r="Q150" i="23"/>
  <c r="N51" i="24"/>
  <c r="N54" i="24"/>
  <c r="M157" i="23"/>
  <c r="P141" i="24"/>
  <c r="P140" i="24"/>
  <c r="P138" i="24"/>
  <c r="P139" i="24"/>
  <c r="R142" i="20"/>
  <c r="P82" i="22"/>
  <c r="O86" i="22"/>
  <c r="Q129" i="20"/>
  <c r="S128" i="20"/>
  <c r="S129" i="20"/>
  <c r="Q100" i="21"/>
  <c r="P106" i="21"/>
  <c r="N30" i="21"/>
  <c r="O93" i="23"/>
  <c r="P92" i="23"/>
  <c r="O97" i="22"/>
  <c r="O94" i="22"/>
  <c r="O96" i="22"/>
  <c r="O95" i="22"/>
  <c r="R137" i="21"/>
  <c r="S136" i="21"/>
  <c r="S137" i="21"/>
  <c r="P100" i="20"/>
  <c r="O106" i="20"/>
  <c r="R78" i="23"/>
  <c r="Q154" i="20"/>
  <c r="P155" i="20"/>
  <c r="S78" i="22"/>
  <c r="Q39" i="24"/>
  <c r="P40" i="24"/>
  <c r="Q145" i="22"/>
  <c r="P149" i="22"/>
  <c r="P150" i="22"/>
  <c r="P52" i="23"/>
  <c r="O53" i="23"/>
  <c r="O54" i="23"/>
  <c r="M98" i="21"/>
  <c r="M107" i="21"/>
  <c r="Q111" i="22"/>
  <c r="P113" i="22"/>
  <c r="S127" i="20"/>
  <c r="S130" i="20"/>
  <c r="P89" i="24"/>
  <c r="O93" i="24"/>
  <c r="P150" i="20"/>
  <c r="R99" i="22"/>
  <c r="Q106" i="22"/>
  <c r="Q28" i="24"/>
  <c r="Q29" i="24"/>
  <c r="Q27" i="24"/>
  <c r="Q26" i="24"/>
  <c r="S51" i="23"/>
  <c r="Q127" i="20"/>
  <c r="Q130" i="20"/>
  <c r="O18" i="20"/>
  <c r="P13" i="20"/>
  <c r="R136" i="24"/>
  <c r="Q137" i="24"/>
  <c r="P86" i="24"/>
  <c r="Q78" i="24"/>
  <c r="Q139" i="21"/>
  <c r="Q141" i="21"/>
  <c r="Q138" i="21"/>
  <c r="Q140" i="21"/>
  <c r="P30" i="22"/>
  <c r="P125" i="22"/>
  <c r="P124" i="22"/>
  <c r="P123" i="22"/>
  <c r="S123" i="22"/>
  <c r="P126" i="22"/>
  <c r="Q129" i="21"/>
  <c r="Q130" i="21"/>
  <c r="S128" i="21"/>
  <c r="S129" i="21"/>
  <c r="S52" i="24"/>
  <c r="S53" i="24"/>
  <c r="P89" i="21"/>
  <c r="O93" i="21"/>
  <c r="S78" i="21"/>
  <c r="R92" i="20"/>
  <c r="Q93" i="20"/>
  <c r="N98" i="22"/>
  <c r="N107" i="22"/>
  <c r="S22" i="24"/>
  <c r="S25" i="24"/>
  <c r="S130" i="21"/>
  <c r="P110" i="24"/>
  <c r="O113" i="24"/>
  <c r="R15" i="23"/>
  <c r="Q18" i="23"/>
  <c r="P85" i="21"/>
  <c r="P86" i="21"/>
  <c r="Q14" i="21"/>
  <c r="P30" i="24"/>
  <c r="P142" i="21"/>
  <c r="P150" i="21"/>
  <c r="R25" i="22"/>
  <c r="S22" i="22"/>
  <c r="S25" i="22"/>
  <c r="O41" i="24"/>
  <c r="N60" i="23"/>
  <c r="N64" i="23"/>
  <c r="N69" i="23"/>
  <c r="Q113" i="21"/>
  <c r="R110" i="21"/>
  <c r="O98" i="20"/>
  <c r="S140" i="20"/>
  <c r="Q142" i="20"/>
  <c r="S138" i="20"/>
  <c r="N95" i="23"/>
  <c r="N97" i="23"/>
  <c r="N96" i="23"/>
  <c r="N94" i="23"/>
  <c r="N41" i="20"/>
  <c r="N157" i="20"/>
  <c r="N159" i="20"/>
  <c r="O10" i="20"/>
  <c r="Q92" i="22"/>
  <c r="P93" i="22"/>
  <c r="P30" i="20"/>
  <c r="R13" i="22"/>
  <c r="Q18" i="22"/>
  <c r="S124" i="22"/>
  <c r="R78" i="24"/>
  <c r="Q86" i="24"/>
  <c r="P18" i="20"/>
  <c r="Q13" i="20"/>
  <c r="Q89" i="24"/>
  <c r="P93" i="24"/>
  <c r="S78" i="23"/>
  <c r="R139" i="21"/>
  <c r="S139" i="21"/>
  <c r="R138" i="21"/>
  <c r="R140" i="21"/>
  <c r="S140" i="21"/>
  <c r="R141" i="21"/>
  <c r="S141" i="21"/>
  <c r="P93" i="23"/>
  <c r="Q92" i="23"/>
  <c r="R100" i="21"/>
  <c r="Q106" i="21"/>
  <c r="P59" i="23"/>
  <c r="Q57" i="23"/>
  <c r="R66" i="24"/>
  <c r="Q68" i="24"/>
  <c r="Q13" i="21"/>
  <c r="P18" i="21"/>
  <c r="Q46" i="24"/>
  <c r="R44" i="24"/>
  <c r="Q33" i="20"/>
  <c r="P40" i="20"/>
  <c r="P41" i="20"/>
  <c r="P96" i="22"/>
  <c r="P94" i="22"/>
  <c r="P97" i="22"/>
  <c r="P95" i="22"/>
  <c r="R14" i="21"/>
  <c r="Q85" i="21"/>
  <c r="Q86" i="21"/>
  <c r="Q110" i="24"/>
  <c r="P113" i="24"/>
  <c r="R93" i="20"/>
  <c r="S92" i="20"/>
  <c r="S93" i="20"/>
  <c r="Q89" i="21"/>
  <c r="P93" i="21"/>
  <c r="R106" i="22"/>
  <c r="S99" i="22"/>
  <c r="S106" i="22"/>
  <c r="S39" i="24"/>
  <c r="S40" i="24"/>
  <c r="Q40" i="24"/>
  <c r="R154" i="20"/>
  <c r="Q155" i="20"/>
  <c r="O97" i="23"/>
  <c r="O96" i="23"/>
  <c r="O95" i="23"/>
  <c r="O94" i="23"/>
  <c r="Q25" i="21"/>
  <c r="S23" i="21"/>
  <c r="S25" i="21"/>
  <c r="O51" i="24"/>
  <c r="O54" i="24"/>
  <c r="Q143" i="24"/>
  <c r="P149" i="24"/>
  <c r="P28" i="23"/>
  <c r="P27" i="23"/>
  <c r="P29" i="23"/>
  <c r="P26" i="23"/>
  <c r="S125" i="22"/>
  <c r="Q93" i="22"/>
  <c r="R92" i="22"/>
  <c r="R111" i="22"/>
  <c r="Q113" i="22"/>
  <c r="P53" i="23"/>
  <c r="P54" i="23"/>
  <c r="Q52" i="23"/>
  <c r="R145" i="22"/>
  <c r="Q149" i="22"/>
  <c r="Q150" i="22"/>
  <c r="Q82" i="22"/>
  <c r="P86" i="22"/>
  <c r="P142" i="24"/>
  <c r="N98" i="21"/>
  <c r="N107" i="21"/>
  <c r="O150" i="24"/>
  <c r="Q25" i="23"/>
  <c r="S24" i="23"/>
  <c r="S25" i="23"/>
  <c r="O30" i="21"/>
  <c r="S34" i="22"/>
  <c r="S29" i="24"/>
  <c r="Q111" i="23"/>
  <c r="P113" i="23"/>
  <c r="R145" i="20"/>
  <c r="Q149" i="20"/>
  <c r="Q150" i="20"/>
  <c r="N98" i="24"/>
  <c r="N107" i="24"/>
  <c r="N98" i="23"/>
  <c r="N107" i="23"/>
  <c r="N157" i="23"/>
  <c r="S142" i="20"/>
  <c r="R137" i="24"/>
  <c r="S136" i="24"/>
  <c r="S137" i="24"/>
  <c r="O97" i="24"/>
  <c r="O96" i="24"/>
  <c r="O95" i="24"/>
  <c r="O94" i="24"/>
  <c r="N157" i="24"/>
  <c r="Q28" i="20"/>
  <c r="S28" i="20"/>
  <c r="Q29" i="20"/>
  <c r="S29" i="20"/>
  <c r="Q26" i="20"/>
  <c r="Q27" i="20"/>
  <c r="S27" i="20"/>
  <c r="O30" i="23"/>
  <c r="O41" i="23"/>
  <c r="R30" i="24"/>
  <c r="R41" i="24"/>
  <c r="S26" i="24"/>
  <c r="S126" i="22"/>
  <c r="O107" i="20"/>
  <c r="O157" i="20"/>
  <c r="O159" i="20"/>
  <c r="P10" i="20"/>
  <c r="O98" i="22"/>
  <c r="O107" i="22"/>
  <c r="Q30" i="22"/>
  <c r="P98" i="20"/>
  <c r="R65" i="23"/>
  <c r="Q68" i="23"/>
  <c r="Q154" i="21"/>
  <c r="P155" i="21"/>
  <c r="S28" i="24"/>
  <c r="R40" i="23"/>
  <c r="R41" i="23"/>
  <c r="S33" i="23"/>
  <c r="S40" i="23"/>
  <c r="R113" i="21"/>
  <c r="S110" i="21"/>
  <c r="S113" i="21"/>
  <c r="R29" i="22"/>
  <c r="S29" i="22"/>
  <c r="R27" i="22"/>
  <c r="S27" i="22"/>
  <c r="R28" i="22"/>
  <c r="S28" i="22"/>
  <c r="R26" i="22"/>
  <c r="R18" i="23"/>
  <c r="S15" i="23"/>
  <c r="S18" i="23"/>
  <c r="Q97" i="20"/>
  <c r="Q96" i="20"/>
  <c r="Q94" i="20"/>
  <c r="Q95" i="20"/>
  <c r="O96" i="21"/>
  <c r="O94" i="21"/>
  <c r="O95" i="21"/>
  <c r="O97" i="21"/>
  <c r="P127" i="22"/>
  <c r="P130" i="22"/>
  <c r="Q142" i="21"/>
  <c r="Q150" i="21"/>
  <c r="Q139" i="24"/>
  <c r="Q140" i="24"/>
  <c r="Q141" i="24"/>
  <c r="Q138" i="24"/>
  <c r="Q30" i="24"/>
  <c r="P41" i="24"/>
  <c r="Q100" i="20"/>
  <c r="P106" i="20"/>
  <c r="P107" i="20"/>
  <c r="O60" i="23"/>
  <c r="O64" i="23"/>
  <c r="O69" i="23"/>
  <c r="Q82" i="23"/>
  <c r="P86" i="23"/>
  <c r="R84" i="20"/>
  <c r="Q86" i="20"/>
  <c r="P28" i="21"/>
  <c r="P26" i="21"/>
  <c r="P29" i="21"/>
  <c r="P27" i="21"/>
  <c r="O64" i="24"/>
  <c r="O69" i="24"/>
  <c r="Q155" i="24"/>
  <c r="R153" i="24"/>
  <c r="S144" i="23"/>
  <c r="S149" i="23"/>
  <c r="S150" i="23"/>
  <c r="R149" i="23"/>
  <c r="R150" i="23"/>
  <c r="P50" i="24"/>
  <c r="P61" i="24"/>
  <c r="P49" i="24"/>
  <c r="P48" i="24"/>
  <c r="P63" i="24"/>
  <c r="P62" i="24"/>
  <c r="P47" i="24"/>
  <c r="S27" i="24"/>
  <c r="Q127" i="22"/>
  <c r="Q130" i="22"/>
  <c r="S127" i="22"/>
  <c r="S130" i="22"/>
  <c r="P98" i="22"/>
  <c r="P107" i="22"/>
  <c r="R142" i="21"/>
  <c r="R150" i="21"/>
  <c r="Q98" i="20"/>
  <c r="P157" i="20"/>
  <c r="P159" i="20"/>
  <c r="Q10" i="20"/>
  <c r="S13" i="22"/>
  <c r="S18" i="22"/>
  <c r="R18" i="22"/>
  <c r="R82" i="23"/>
  <c r="Q86" i="23"/>
  <c r="R100" i="20"/>
  <c r="Q106" i="20"/>
  <c r="Q107" i="20"/>
  <c r="R154" i="21"/>
  <c r="Q155" i="21"/>
  <c r="Q29" i="23"/>
  <c r="S29" i="23"/>
  <c r="Q27" i="23"/>
  <c r="S27" i="23"/>
  <c r="Q28" i="23"/>
  <c r="S28" i="23"/>
  <c r="Q26" i="23"/>
  <c r="Q113" i="24"/>
  <c r="R110" i="24"/>
  <c r="P64" i="24"/>
  <c r="P69" i="24"/>
  <c r="P30" i="23"/>
  <c r="P41" i="23"/>
  <c r="Q149" i="24"/>
  <c r="R143" i="24"/>
  <c r="R33" i="20"/>
  <c r="Q40" i="20"/>
  <c r="R13" i="21"/>
  <c r="Q18" i="21"/>
  <c r="R89" i="24"/>
  <c r="Q93" i="24"/>
  <c r="Q18" i="20"/>
  <c r="R13" i="20"/>
  <c r="P30" i="21"/>
  <c r="R68" i="23"/>
  <c r="S65" i="23"/>
  <c r="S68" i="23"/>
  <c r="P150" i="24"/>
  <c r="R149" i="22"/>
  <c r="R150" i="22"/>
  <c r="S145" i="22"/>
  <c r="S149" i="22"/>
  <c r="S150" i="22"/>
  <c r="S111" i="22"/>
  <c r="S113" i="22"/>
  <c r="R113" i="22"/>
  <c r="R93" i="22"/>
  <c r="S92" i="22"/>
  <c r="S93" i="22"/>
  <c r="Q41" i="24"/>
  <c r="R94" i="20"/>
  <c r="R96" i="20"/>
  <c r="S96" i="20"/>
  <c r="R95" i="20"/>
  <c r="S95" i="20"/>
  <c r="R97" i="20"/>
  <c r="S97" i="20"/>
  <c r="R57" i="23"/>
  <c r="Q59" i="23"/>
  <c r="S100" i="21"/>
  <c r="S106" i="21"/>
  <c r="R106" i="21"/>
  <c r="R30" i="22"/>
  <c r="S26" i="22"/>
  <c r="S30" i="22"/>
  <c r="R155" i="20"/>
  <c r="S154" i="20"/>
  <c r="S155" i="20"/>
  <c r="R89" i="21"/>
  <c r="Q93" i="21"/>
  <c r="Q47" i="24"/>
  <c r="Q62" i="24"/>
  <c r="Q49" i="24"/>
  <c r="Q50" i="24"/>
  <c r="Q61" i="24"/>
  <c r="Q48" i="24"/>
  <c r="Q63" i="24"/>
  <c r="R68" i="24"/>
  <c r="S66" i="24"/>
  <c r="S68" i="24"/>
  <c r="P94" i="23"/>
  <c r="P96" i="23"/>
  <c r="P95" i="23"/>
  <c r="P97" i="23"/>
  <c r="P96" i="24"/>
  <c r="P94" i="24"/>
  <c r="P95" i="24"/>
  <c r="P97" i="24"/>
  <c r="R86" i="24"/>
  <c r="S78" i="24"/>
  <c r="S86" i="24"/>
  <c r="R86" i="20"/>
  <c r="S84" i="20"/>
  <c r="S86" i="20"/>
  <c r="O98" i="21"/>
  <c r="O107" i="21"/>
  <c r="O98" i="24"/>
  <c r="O107" i="24"/>
  <c r="O157" i="24"/>
  <c r="R138" i="24"/>
  <c r="R139" i="24"/>
  <c r="S139" i="24"/>
  <c r="R140" i="24"/>
  <c r="S140" i="24"/>
  <c r="R141" i="24"/>
  <c r="S141" i="24"/>
  <c r="R149" i="20"/>
  <c r="R150" i="20"/>
  <c r="S145" i="20"/>
  <c r="S149" i="20"/>
  <c r="S150" i="20"/>
  <c r="R82" i="22"/>
  <c r="Q86" i="22"/>
  <c r="P51" i="24"/>
  <c r="P54" i="24"/>
  <c r="R155" i="24"/>
  <c r="S153" i="24"/>
  <c r="S155" i="24"/>
  <c r="Q142" i="24"/>
  <c r="Q150" i="24"/>
  <c r="S138" i="21"/>
  <c r="S142" i="21"/>
  <c r="S150" i="21"/>
  <c r="S30" i="24"/>
  <c r="S41" i="24"/>
  <c r="Q30" i="20"/>
  <c r="S26" i="20"/>
  <c r="S30" i="20"/>
  <c r="R111" i="23"/>
  <c r="Q113" i="23"/>
  <c r="R52" i="23"/>
  <c r="Q53" i="23"/>
  <c r="Q54" i="23"/>
  <c r="Q96" i="22"/>
  <c r="Q95" i="22"/>
  <c r="Q94" i="22"/>
  <c r="Q97" i="22"/>
  <c r="Q29" i="21"/>
  <c r="S29" i="21"/>
  <c r="Q27" i="21"/>
  <c r="S27" i="21"/>
  <c r="Q28" i="21"/>
  <c r="S28" i="21"/>
  <c r="Q26" i="21"/>
  <c r="O98" i="23"/>
  <c r="O107" i="23"/>
  <c r="O157" i="23"/>
  <c r="P94" i="21"/>
  <c r="P95" i="21"/>
  <c r="P96" i="21"/>
  <c r="P97" i="21"/>
  <c r="R85" i="21"/>
  <c r="S14" i="21"/>
  <c r="R46" i="24"/>
  <c r="S44" i="24"/>
  <c r="S46" i="24"/>
  <c r="P60" i="23"/>
  <c r="P64" i="23"/>
  <c r="P69" i="23"/>
  <c r="R92" i="23"/>
  <c r="Q93" i="23"/>
  <c r="P98" i="24"/>
  <c r="P107" i="24"/>
  <c r="P98" i="21"/>
  <c r="P107" i="21"/>
  <c r="P157" i="24"/>
  <c r="Q30" i="21"/>
  <c r="S26" i="21"/>
  <c r="S30" i="21"/>
  <c r="R113" i="23"/>
  <c r="S111" i="23"/>
  <c r="S113" i="23"/>
  <c r="S82" i="22"/>
  <c r="S86" i="22"/>
  <c r="R86" i="22"/>
  <c r="P98" i="23"/>
  <c r="P107" i="23"/>
  <c r="R98" i="20"/>
  <c r="S94" i="20"/>
  <c r="S98" i="20"/>
  <c r="R97" i="22"/>
  <c r="S97" i="22"/>
  <c r="R95" i="22"/>
  <c r="S95" i="22"/>
  <c r="R96" i="22"/>
  <c r="S96" i="22"/>
  <c r="R94" i="22"/>
  <c r="P157" i="23"/>
  <c r="R113" i="24"/>
  <c r="S110" i="24"/>
  <c r="S113" i="24"/>
  <c r="Q97" i="21"/>
  <c r="Q94" i="21"/>
  <c r="Q96" i="21"/>
  <c r="Q95" i="21"/>
  <c r="Q95" i="24"/>
  <c r="Q96" i="24"/>
  <c r="Q94" i="24"/>
  <c r="Q97" i="24"/>
  <c r="Q41" i="20"/>
  <c r="Q157" i="20"/>
  <c r="Q159" i="20"/>
  <c r="R10" i="20"/>
  <c r="S154" i="21"/>
  <c r="S155" i="21"/>
  <c r="R155" i="21"/>
  <c r="R106" i="20"/>
  <c r="R107" i="20"/>
  <c r="S100" i="20"/>
  <c r="S106" i="20"/>
  <c r="S107" i="20"/>
  <c r="Q97" i="23"/>
  <c r="Q94" i="23"/>
  <c r="Q96" i="23"/>
  <c r="Q95" i="23"/>
  <c r="R53" i="23"/>
  <c r="R54" i="23"/>
  <c r="S52" i="23"/>
  <c r="S53" i="23"/>
  <c r="S54" i="23"/>
  <c r="C9" i="19"/>
  <c r="C13" i="19"/>
  <c r="R93" i="21"/>
  <c r="S89" i="21"/>
  <c r="S93" i="21"/>
  <c r="Q60" i="23"/>
  <c r="Q64" i="23"/>
  <c r="Q69" i="23"/>
  <c r="R93" i="24"/>
  <c r="S89" i="24"/>
  <c r="S93" i="24"/>
  <c r="R18" i="21"/>
  <c r="S13" i="21"/>
  <c r="S18" i="21"/>
  <c r="R40" i="20"/>
  <c r="R41" i="20"/>
  <c r="R157" i="20"/>
  <c r="S33" i="20"/>
  <c r="S40" i="20"/>
  <c r="S41" i="20"/>
  <c r="S157" i="20"/>
  <c r="R149" i="24"/>
  <c r="S143" i="24"/>
  <c r="S149" i="24"/>
  <c r="S82" i="23"/>
  <c r="S86" i="23"/>
  <c r="R86" i="23"/>
  <c r="R93" i="23"/>
  <c r="S92" i="23"/>
  <c r="S93" i="23"/>
  <c r="R61" i="24"/>
  <c r="R50" i="24"/>
  <c r="S50" i="24"/>
  <c r="R47" i="24"/>
  <c r="R48" i="24"/>
  <c r="S48" i="24"/>
  <c r="R62" i="24"/>
  <c r="S62" i="24"/>
  <c r="R49" i="24"/>
  <c r="S49" i="24"/>
  <c r="R63" i="24"/>
  <c r="S63" i="24"/>
  <c r="S85" i="21"/>
  <c r="S86" i="21"/>
  <c r="R86" i="21"/>
  <c r="Q98" i="22"/>
  <c r="Q107" i="22"/>
  <c r="R142" i="24"/>
  <c r="R150" i="24"/>
  <c r="S138" i="24"/>
  <c r="S142" i="24"/>
  <c r="S150" i="24"/>
  <c r="Q64" i="24"/>
  <c r="Q69" i="24"/>
  <c r="Q51" i="24"/>
  <c r="Q54" i="24"/>
  <c r="R59" i="23"/>
  <c r="S57" i="23"/>
  <c r="S59" i="23"/>
  <c r="R18" i="20"/>
  <c r="S13" i="20"/>
  <c r="S18" i="20"/>
  <c r="Q30" i="23"/>
  <c r="Q41" i="23"/>
  <c r="S26" i="23"/>
  <c r="S30" i="23"/>
  <c r="S41" i="23"/>
  <c r="R159" i="20"/>
  <c r="Q98" i="21"/>
  <c r="Q107" i="21"/>
  <c r="R60" i="23"/>
  <c r="S61" i="24"/>
  <c r="S64" i="24"/>
  <c r="S69" i="24"/>
  <c r="R64" i="24"/>
  <c r="R69" i="24"/>
  <c r="R94" i="24"/>
  <c r="R97" i="24"/>
  <c r="S97" i="24"/>
  <c r="R95" i="24"/>
  <c r="S95" i="24"/>
  <c r="R96" i="24"/>
  <c r="S96" i="24"/>
  <c r="S159" i="20"/>
  <c r="F10" i="21"/>
  <c r="G10" i="21"/>
  <c r="R51" i="24"/>
  <c r="R54" i="24"/>
  <c r="S47" i="24"/>
  <c r="S51" i="24"/>
  <c r="S54" i="24"/>
  <c r="R97" i="23"/>
  <c r="S97" i="23"/>
  <c r="R94" i="23"/>
  <c r="R95" i="23"/>
  <c r="S95" i="23"/>
  <c r="R96" i="23"/>
  <c r="S96" i="23"/>
  <c r="R98" i="22"/>
  <c r="R107" i="22"/>
  <c r="S94" i="22"/>
  <c r="S98" i="22"/>
  <c r="S107" i="22"/>
  <c r="R95" i="21"/>
  <c r="S95" i="21"/>
  <c r="R97" i="21"/>
  <c r="S97" i="21"/>
  <c r="R96" i="21"/>
  <c r="S96" i="21"/>
  <c r="R94" i="21"/>
  <c r="Q98" i="23"/>
  <c r="Q107" i="23"/>
  <c r="Q157" i="23"/>
  <c r="Q98" i="24"/>
  <c r="Q107" i="24"/>
  <c r="Q157" i="24"/>
  <c r="R98" i="24"/>
  <c r="R107" i="24"/>
  <c r="S94" i="24"/>
  <c r="S98" i="24"/>
  <c r="S107" i="24"/>
  <c r="S157" i="24"/>
  <c r="R157" i="24"/>
  <c r="S10" i="21"/>
  <c r="R98" i="21"/>
  <c r="R107" i="21"/>
  <c r="S94" i="21"/>
  <c r="S98" i="21"/>
  <c r="S107" i="21"/>
  <c r="R98" i="23"/>
  <c r="R107" i="23"/>
  <c r="S94" i="23"/>
  <c r="S98" i="23"/>
  <c r="S107" i="23"/>
  <c r="R64" i="23"/>
  <c r="R69" i="23"/>
  <c r="R157" i="23"/>
  <c r="S60" i="23"/>
  <c r="S64" i="23"/>
  <c r="S69" i="23"/>
  <c r="S157" i="23"/>
  <c r="V169" i="10"/>
  <c r="Q171" i="10"/>
  <c r="Q172" i="10"/>
  <c r="Q156" i="10"/>
  <c r="Q159" i="10"/>
  <c r="M166" i="10"/>
  <c r="P37" i="10"/>
  <c r="X37" i="10"/>
  <c r="W156" i="10"/>
  <c r="W159" i="10"/>
  <c r="V159" i="10"/>
  <c r="P17" i="10"/>
  <c r="H40" i="25"/>
  <c r="H41" i="25"/>
  <c r="H158" i="25"/>
  <c r="I137" i="10"/>
  <c r="M66" i="10"/>
  <c r="M211" i="10"/>
  <c r="F87" i="25"/>
  <c r="J135" i="10"/>
  <c r="M135" i="10"/>
  <c r="I38" i="10"/>
  <c r="I39" i="10"/>
  <c r="I44" i="10"/>
  <c r="H175" i="10"/>
  <c r="I175" i="10"/>
  <c r="J175" i="10"/>
  <c r="J176" i="10"/>
  <c r="J180" i="10"/>
  <c r="G100" i="10"/>
  <c r="G102" i="10"/>
  <c r="G105" i="10"/>
  <c r="K89" i="10"/>
  <c r="L89" i="10"/>
  <c r="M89" i="10"/>
  <c r="R47" i="10"/>
  <c r="R56" i="10"/>
  <c r="Q13" i="10"/>
  <c r="Q17" i="10"/>
  <c r="K229" i="10"/>
  <c r="V45" i="10"/>
  <c r="V120" i="10"/>
  <c r="V130" i="10"/>
  <c r="P219" i="10"/>
  <c r="P220" i="10"/>
  <c r="P224" i="10"/>
  <c r="J212" i="10"/>
  <c r="K212" i="10"/>
  <c r="L212" i="10"/>
  <c r="P95" i="10"/>
  <c r="P96" i="10"/>
  <c r="P97" i="10"/>
  <c r="H62" i="10"/>
  <c r="I62" i="10"/>
  <c r="J62" i="10"/>
  <c r="K62" i="10"/>
  <c r="L62" i="10"/>
  <c r="H61" i="10"/>
  <c r="I61" i="10"/>
  <c r="J61" i="10"/>
  <c r="K61" i="10"/>
  <c r="K63" i="10"/>
  <c r="K67" i="10"/>
  <c r="H74" i="10"/>
  <c r="H76" i="10"/>
  <c r="P36" i="10"/>
  <c r="Q36" i="10"/>
  <c r="R36" i="10"/>
  <c r="S36" i="10"/>
  <c r="T36" i="10"/>
  <c r="U36" i="10"/>
  <c r="V36" i="10"/>
  <c r="W36" i="10"/>
  <c r="X36" i="10"/>
  <c r="I40" i="10"/>
  <c r="H163" i="10"/>
  <c r="M163" i="10"/>
  <c r="H35" i="10"/>
  <c r="M75" i="10"/>
  <c r="R13" i="10"/>
  <c r="R17" i="10"/>
  <c r="X184" i="10"/>
  <c r="X221" i="10"/>
  <c r="Q95" i="10"/>
  <c r="X97" i="10"/>
  <c r="H63" i="10"/>
  <c r="H64" i="10"/>
  <c r="X41" i="10"/>
  <c r="H167" i="10"/>
  <c r="M167" i="10"/>
  <c r="H165" i="10"/>
  <c r="M165" i="10"/>
  <c r="H164" i="10"/>
  <c r="H168" i="10"/>
  <c r="H172" i="10"/>
  <c r="I163" i="10"/>
  <c r="P184" i="10"/>
  <c r="M136" i="10"/>
  <c r="I167" i="10"/>
  <c r="J163" i="10"/>
  <c r="J165" i="10"/>
  <c r="M175" i="10"/>
  <c r="M162" i="10"/>
  <c r="I87" i="1"/>
  <c r="I89" i="1"/>
  <c r="H87" i="1"/>
  <c r="H89" i="1"/>
  <c r="H98" i="1"/>
  <c r="H104" i="1"/>
  <c r="H75" i="15"/>
  <c r="H157" i="15"/>
  <c r="H159" i="15"/>
  <c r="H161" i="15"/>
  <c r="J31" i="25"/>
  <c r="J40" i="25"/>
  <c r="J41" i="25"/>
  <c r="J158" i="25"/>
  <c r="I40" i="25"/>
  <c r="I41" i="25"/>
  <c r="I158" i="25"/>
  <c r="H13" i="25"/>
  <c r="I13" i="25"/>
  <c r="I18" i="25"/>
  <c r="I160" i="25"/>
  <c r="F65" i="16"/>
  <c r="F17" i="16"/>
  <c r="F66" i="16"/>
  <c r="F110" i="16"/>
  <c r="F113" i="16"/>
  <c r="F14" i="16"/>
  <c r="G35" i="25"/>
  <c r="H35" i="25"/>
  <c r="J59" i="1"/>
  <c r="J98" i="1"/>
  <c r="J104" i="1"/>
  <c r="G87" i="1"/>
  <c r="G89" i="1"/>
  <c r="G98" i="1"/>
  <c r="G104" i="1"/>
  <c r="G79" i="25"/>
  <c r="G87" i="25"/>
  <c r="G18" i="25"/>
  <c r="G117" i="25"/>
  <c r="G119" i="25"/>
  <c r="F65" i="17"/>
  <c r="F68" i="17"/>
  <c r="F69" i="17"/>
  <c r="G13" i="17"/>
  <c r="F35" i="16"/>
  <c r="F35" i="17"/>
  <c r="F40" i="17"/>
  <c r="F41" i="17"/>
  <c r="F157" i="17"/>
  <c r="F159" i="17"/>
  <c r="F161" i="17"/>
  <c r="G10" i="17"/>
  <c r="F34" i="1"/>
  <c r="F24" i="1"/>
  <c r="F21" i="1"/>
  <c r="F29" i="16"/>
  <c r="F27" i="16"/>
  <c r="F117" i="16"/>
  <c r="F118" i="16"/>
  <c r="I51" i="10"/>
  <c r="M51" i="10"/>
  <c r="J54" i="10"/>
  <c r="I52" i="10"/>
  <c r="G37" i="21"/>
  <c r="S37" i="21"/>
  <c r="I55" i="10"/>
  <c r="J55" i="10"/>
  <c r="L52" i="10"/>
  <c r="L54" i="10"/>
  <c r="K52" i="10"/>
  <c r="E22" i="16"/>
  <c r="F52" i="16"/>
  <c r="F53" i="16"/>
  <c r="F54" i="16"/>
  <c r="F39" i="16"/>
  <c r="G36" i="25"/>
  <c r="F28" i="16"/>
  <c r="B38" i="8"/>
  <c r="F22" i="25"/>
  <c r="F25" i="25"/>
  <c r="F23" i="1"/>
  <c r="F52" i="25"/>
  <c r="F53" i="25"/>
  <c r="F54" i="25"/>
  <c r="F81" i="1"/>
  <c r="E22" i="15"/>
  <c r="E22" i="21"/>
  <c r="E22" i="25"/>
  <c r="E22" i="20"/>
  <c r="G82" i="1"/>
  <c r="G84" i="1"/>
  <c r="F39" i="25"/>
  <c r="F82" i="1"/>
  <c r="X34" i="10"/>
  <c r="P34" i="10"/>
  <c r="G116" i="17"/>
  <c r="G118" i="17"/>
  <c r="H13" i="17"/>
  <c r="G18" i="17"/>
  <c r="H79" i="25"/>
  <c r="H87" i="25"/>
  <c r="H18" i="25"/>
  <c r="H160" i="25"/>
  <c r="H85" i="25"/>
  <c r="H117" i="25"/>
  <c r="H119" i="25"/>
  <c r="J87" i="1"/>
  <c r="J89" i="1"/>
  <c r="F18" i="16"/>
  <c r="F85" i="16"/>
  <c r="F86" i="16"/>
  <c r="F68" i="16"/>
  <c r="F84" i="1"/>
  <c r="F37" i="16"/>
  <c r="F40" i="16"/>
  <c r="F37" i="25"/>
  <c r="H37" i="21"/>
  <c r="I37" i="21"/>
  <c r="J37" i="21"/>
  <c r="K37" i="21"/>
  <c r="L37" i="21"/>
  <c r="M37" i="21"/>
  <c r="N37" i="21"/>
  <c r="O37" i="21"/>
  <c r="P37" i="21"/>
  <c r="Q37" i="21"/>
  <c r="R37" i="21"/>
  <c r="M52" i="10"/>
  <c r="F30" i="16"/>
  <c r="F25" i="1"/>
  <c r="F35" i="1"/>
  <c r="F111" i="1"/>
  <c r="F113" i="1"/>
  <c r="M55" i="10"/>
  <c r="Q34" i="10"/>
  <c r="H116" i="17"/>
  <c r="H118" i="17"/>
  <c r="H18" i="17"/>
  <c r="I13" i="17"/>
  <c r="J13" i="25"/>
  <c r="J18" i="25"/>
  <c r="J160" i="25"/>
  <c r="I79" i="25"/>
  <c r="I87" i="25"/>
  <c r="I85" i="25"/>
  <c r="I117" i="25"/>
  <c r="I119" i="25"/>
  <c r="F41" i="16"/>
  <c r="F157" i="16"/>
  <c r="F159" i="16"/>
  <c r="F161" i="16"/>
  <c r="H37" i="25"/>
  <c r="F40" i="25"/>
  <c r="F41" i="25"/>
  <c r="F158" i="25"/>
  <c r="F160" i="25"/>
  <c r="F162" i="25"/>
  <c r="G10" i="25"/>
  <c r="G40" i="25"/>
  <c r="G41" i="25"/>
  <c r="G158" i="25"/>
  <c r="G160" i="25"/>
  <c r="G162" i="25"/>
  <c r="H10" i="25"/>
  <c r="H162" i="25"/>
  <c r="I10" i="25"/>
  <c r="I162" i="25"/>
  <c r="J10" i="25"/>
  <c r="J162" i="25"/>
  <c r="G37" i="25"/>
  <c r="X39" i="10"/>
  <c r="J85" i="25"/>
  <c r="J117" i="25"/>
  <c r="J119" i="25"/>
  <c r="J79" i="25"/>
  <c r="J87" i="25"/>
  <c r="J13" i="17"/>
  <c r="I116" i="17"/>
  <c r="I118" i="17"/>
  <c r="I18" i="17"/>
  <c r="J116" i="17"/>
  <c r="J118" i="17"/>
  <c r="J18" i="17"/>
  <c r="Z141" i="10"/>
  <c r="Y141" i="10"/>
  <c r="M164" i="10"/>
  <c r="J177" i="10"/>
  <c r="J181" i="10"/>
  <c r="M62" i="10"/>
  <c r="S13" i="10"/>
  <c r="S17" i="10"/>
  <c r="T120" i="10"/>
  <c r="T130" i="10"/>
  <c r="L82" i="10"/>
  <c r="L85" i="10"/>
  <c r="N153" i="10"/>
  <c r="Z239" i="10"/>
  <c r="M212" i="10"/>
  <c r="S47" i="10"/>
  <c r="J137" i="10"/>
  <c r="H37" i="22"/>
  <c r="I37" i="22"/>
  <c r="J37" i="22"/>
  <c r="K37" i="22"/>
  <c r="L37" i="22"/>
  <c r="M37" i="22"/>
  <c r="N37" i="22"/>
  <c r="O37" i="22"/>
  <c r="P37" i="22"/>
  <c r="Q37" i="22"/>
  <c r="R37" i="22"/>
  <c r="G42" i="10"/>
  <c r="G44" i="10"/>
  <c r="G57" i="10"/>
  <c r="H102" i="10"/>
  <c r="H105" i="10"/>
  <c r="L105" i="10"/>
  <c r="N234" i="10"/>
  <c r="Y137" i="10"/>
  <c r="X38" i="10"/>
  <c r="X40" i="10"/>
  <c r="H189" i="10"/>
  <c r="H191" i="10"/>
  <c r="K105" i="10"/>
  <c r="N191" i="10"/>
  <c r="P187" i="10"/>
  <c r="P189" i="10"/>
  <c r="P191" i="10"/>
  <c r="O139" i="10"/>
  <c r="O143" i="10"/>
  <c r="O153" i="10"/>
  <c r="Y153" i="10"/>
  <c r="F118" i="25"/>
  <c r="F119" i="25"/>
  <c r="F26" i="25"/>
  <c r="F30" i="25"/>
  <c r="F27" i="25"/>
  <c r="F29" i="25"/>
  <c r="I29" i="25"/>
  <c r="I26" i="25"/>
  <c r="I30" i="25"/>
  <c r="I27" i="25"/>
  <c r="J24" i="1"/>
  <c r="J22" i="1"/>
  <c r="J21" i="1"/>
  <c r="J25" i="1"/>
  <c r="I122" i="25"/>
  <c r="H123" i="25"/>
  <c r="F99" i="25"/>
  <c r="F108" i="25"/>
  <c r="K96" i="25"/>
  <c r="F63" i="16"/>
  <c r="F60" i="16"/>
  <c r="F61" i="16"/>
  <c r="I58" i="17"/>
  <c r="H59" i="17"/>
  <c r="J100" i="25"/>
  <c r="J107" i="25"/>
  <c r="I107" i="25"/>
  <c r="F97" i="16"/>
  <c r="F95" i="16"/>
  <c r="F94" i="16"/>
  <c r="F98" i="16"/>
  <c r="F107" i="16"/>
  <c r="G88" i="1"/>
  <c r="G21" i="1"/>
  <c r="G25" i="1"/>
  <c r="G22" i="1"/>
  <c r="G118" i="25"/>
  <c r="G29" i="25"/>
  <c r="G140" i="25"/>
  <c r="G139" i="25"/>
  <c r="G142" i="25"/>
  <c r="H48" i="25"/>
  <c r="H47" i="25"/>
  <c r="H50" i="25"/>
  <c r="H56" i="1"/>
  <c r="I51" i="1"/>
  <c r="H46" i="17"/>
  <c r="I45" i="17"/>
  <c r="L158" i="25"/>
  <c r="L160" i="25"/>
  <c r="L162" i="25"/>
  <c r="M10" i="25"/>
  <c r="M162" i="25"/>
  <c r="N10" i="25"/>
  <c r="M72" i="25"/>
  <c r="N72" i="25"/>
  <c r="G98" i="25"/>
  <c r="G95" i="25"/>
  <c r="G96" i="25"/>
  <c r="G99" i="25"/>
  <c r="G108" i="25"/>
  <c r="N98" i="25"/>
  <c r="M98" i="25"/>
  <c r="O98" i="25"/>
  <c r="I42" i="10"/>
  <c r="J60" i="25"/>
  <c r="J61" i="25"/>
  <c r="J63" i="25"/>
  <c r="J48" i="25"/>
  <c r="J50" i="25"/>
  <c r="J47" i="25"/>
  <c r="J51" i="25"/>
  <c r="J54" i="25"/>
  <c r="M95" i="25"/>
  <c r="K99" i="25"/>
  <c r="K108" i="25"/>
  <c r="N95" i="25"/>
  <c r="I63" i="1"/>
  <c r="H64" i="1"/>
  <c r="H90" i="25"/>
  <c r="M122" i="10"/>
  <c r="I154" i="25"/>
  <c r="G127" i="25"/>
  <c r="G128" i="25"/>
  <c r="G131" i="25"/>
  <c r="G59" i="17"/>
  <c r="N171" i="10"/>
  <c r="N172" i="10"/>
  <c r="N245" i="10"/>
  <c r="N247" i="10"/>
  <c r="N249" i="10"/>
  <c r="G171" i="10"/>
  <c r="G172" i="10"/>
  <c r="X185" i="10"/>
  <c r="X187" i="10"/>
  <c r="X189" i="10"/>
  <c r="X191" i="10"/>
  <c r="I120" i="10"/>
  <c r="I130" i="10"/>
  <c r="I170" i="10"/>
  <c r="I45" i="10"/>
  <c r="H35" i="21"/>
  <c r="H40" i="21"/>
  <c r="H41" i="21"/>
  <c r="H157" i="21"/>
  <c r="G35" i="17"/>
  <c r="M50" i="10"/>
  <c r="H176" i="10"/>
  <c r="K13" i="10"/>
  <c r="M13" i="10"/>
  <c r="I158" i="10"/>
  <c r="I159" i="10"/>
  <c r="H159" i="10"/>
  <c r="I69" i="10"/>
  <c r="I70" i="10"/>
  <c r="H224" i="10"/>
  <c r="H226" i="10"/>
  <c r="H234" i="10"/>
  <c r="P56" i="10"/>
  <c r="M196" i="10"/>
  <c r="M209" i="10"/>
  <c r="O222" i="10"/>
  <c r="Z139" i="10"/>
  <c r="Z17" i="10"/>
  <c r="AA139" i="10" s="1"/>
  <c r="Z101" i="10"/>
  <c r="X101" i="10"/>
  <c r="AA135" i="10"/>
  <c r="AA121" i="10"/>
  <c r="AA109" i="10"/>
  <c r="AA91" i="10"/>
  <c r="AA85" i="10"/>
  <c r="AA81" i="10"/>
  <c r="AA77" i="10"/>
  <c r="AA73" i="10"/>
  <c r="AA69" i="10"/>
  <c r="AA63" i="10"/>
  <c r="AA35" i="10"/>
  <c r="AA27" i="10"/>
  <c r="AA23" i="10"/>
  <c r="AA19" i="10"/>
  <c r="Y239" i="10"/>
  <c r="Y230" i="10"/>
  <c r="Y225" i="10"/>
  <c r="Y221" i="10"/>
  <c r="Y205" i="10"/>
  <c r="Y183" i="10"/>
  <c r="Y156" i="10"/>
  <c r="AA134" i="10"/>
  <c r="AA115" i="10"/>
  <c r="AA106" i="10"/>
  <c r="AA84" i="10"/>
  <c r="AA79" i="10"/>
  <c r="AA74" i="10"/>
  <c r="AA68" i="10"/>
  <c r="AA61" i="10"/>
  <c r="AA28" i="10"/>
  <c r="AA22" i="10"/>
  <c r="AA12" i="10"/>
  <c r="Y229" i="10"/>
  <c r="Y223" i="10"/>
  <c r="Y207" i="10"/>
  <c r="Y199" i="10"/>
  <c r="Y186" i="10"/>
  <c r="Y157" i="10"/>
  <c r="Y149" i="10"/>
  <c r="Y145" i="10"/>
  <c r="Y140" i="10"/>
  <c r="Y133" i="10"/>
  <c r="Y124" i="10"/>
  <c r="Y53" i="10"/>
  <c r="Y49" i="10"/>
  <c r="Y36" i="10"/>
  <c r="Y15" i="10"/>
  <c r="AA129" i="10"/>
  <c r="AA112" i="10"/>
  <c r="AA90" i="10"/>
  <c r="AA83" i="10"/>
  <c r="AA78" i="10"/>
  <c r="AA72" i="10"/>
  <c r="AA65" i="10"/>
  <c r="AA60" i="10"/>
  <c r="AA26" i="10"/>
  <c r="AA21" i="10"/>
  <c r="Y237" i="10"/>
  <c r="Y228" i="10"/>
  <c r="Y196" i="10"/>
  <c r="Y184" i="10"/>
  <c r="Y152" i="10"/>
  <c r="Y148" i="10"/>
  <c r="Y144" i="10"/>
  <c r="Y138" i="10"/>
  <c r="Y128" i="10"/>
  <c r="Y122" i="10"/>
  <c r="Y103" i="10"/>
  <c r="Y99" i="10"/>
  <c r="Y95" i="10"/>
  <c r="Y52" i="10"/>
  <c r="Y48" i="10"/>
  <c r="Y41" i="10"/>
  <c r="Y34" i="10"/>
  <c r="Y13" i="10"/>
  <c r="M63" i="10"/>
  <c r="M74" i="10"/>
  <c r="L61" i="10"/>
  <c r="L63" i="10"/>
  <c r="J63" i="10"/>
  <c r="J64" i="10"/>
  <c r="J68" i="10"/>
  <c r="K175" i="10"/>
  <c r="I63" i="10"/>
  <c r="I67" i="10"/>
  <c r="I74" i="10"/>
  <c r="X224" i="10"/>
  <c r="T169" i="10"/>
  <c r="T171" i="10"/>
  <c r="T172" i="10"/>
  <c r="T45" i="10"/>
  <c r="M46" i="10"/>
  <c r="H139" i="10"/>
  <c r="J191" i="10"/>
  <c r="X125" i="10"/>
  <c r="Y17" i="10"/>
  <c r="Y47" i="10"/>
  <c r="Y55" i="10"/>
  <c r="Y127" i="10"/>
  <c r="Y143" i="10"/>
  <c r="Y151" i="10"/>
  <c r="Y190" i="10"/>
  <c r="Y220" i="10"/>
  <c r="Y232" i="10"/>
  <c r="AA25" i="10"/>
  <c r="AA64" i="10"/>
  <c r="AA76" i="10"/>
  <c r="AA89" i="10"/>
  <c r="AA123" i="10"/>
  <c r="L50" i="10"/>
  <c r="J35" i="17"/>
  <c r="L13" i="10"/>
  <c r="K83" i="10"/>
  <c r="K69" i="10"/>
  <c r="K70" i="10"/>
  <c r="I227" i="10"/>
  <c r="I84" i="10"/>
  <c r="M84" i="10"/>
  <c r="I82" i="10"/>
  <c r="I85" i="10"/>
  <c r="I230" i="10"/>
  <c r="M230" i="10"/>
  <c r="I231" i="10"/>
  <c r="M231" i="10"/>
  <c r="M134" i="10"/>
  <c r="L69" i="10"/>
  <c r="L70" i="10"/>
  <c r="G36" i="17"/>
  <c r="M61" i="10"/>
  <c r="I176" i="10"/>
  <c r="I178" i="10"/>
  <c r="J141" i="10"/>
  <c r="M232" i="10"/>
  <c r="L83" i="10"/>
  <c r="K82" i="10"/>
  <c r="K85" i="10"/>
  <c r="I47" i="10"/>
  <c r="H85" i="10"/>
  <c r="M85" i="10"/>
  <c r="I105" i="10"/>
  <c r="I238" i="10"/>
  <c r="J238" i="10"/>
  <c r="H239" i="10"/>
  <c r="M105" i="10"/>
  <c r="Q183" i="10"/>
  <c r="Q184" i="10"/>
  <c r="R182" i="10"/>
  <c r="R183" i="10"/>
  <c r="Y10" i="10"/>
  <c r="Y38" i="10"/>
  <c r="Y50" i="10"/>
  <c r="Y97" i="10"/>
  <c r="Y119" i="10"/>
  <c r="Y136" i="10"/>
  <c r="Y146" i="10"/>
  <c r="Y170" i="10"/>
  <c r="Y201" i="10"/>
  <c r="AA14" i="10"/>
  <c r="AA29" i="10"/>
  <c r="AA70" i="10"/>
  <c r="AA80" i="10"/>
  <c r="AA107" i="10"/>
  <c r="M129" i="10"/>
  <c r="G189" i="10"/>
  <c r="G191" i="10"/>
  <c r="V171" i="10"/>
  <c r="V172" i="10"/>
  <c r="Z188" i="10"/>
  <c r="Y188" i="10"/>
  <c r="O203" i="10"/>
  <c r="Y203" i="10"/>
  <c r="Y200" i="10"/>
  <c r="O100" i="10"/>
  <c r="O98" i="10"/>
  <c r="M83" i="10"/>
  <c r="W171" i="10"/>
  <c r="W172" i="10"/>
  <c r="S171" i="10"/>
  <c r="S172" i="10"/>
  <c r="X159" i="10"/>
  <c r="O116" i="10"/>
  <c r="O252" i="10"/>
  <c r="Y252" i="10"/>
  <c r="Y45" i="10"/>
  <c r="Y96" i="10"/>
  <c r="Y233" i="10"/>
  <c r="Z159" i="10"/>
  <c r="Y159" i="10"/>
  <c r="L39" i="10"/>
  <c r="L44" i="10"/>
  <c r="L42" i="10"/>
  <c r="L40" i="10"/>
  <c r="I35" i="21"/>
  <c r="M90" i="10"/>
  <c r="M88" i="10"/>
  <c r="K237" i="10"/>
  <c r="L237" i="10"/>
  <c r="L124" i="10"/>
  <c r="M124" i="10"/>
  <c r="L65" i="10"/>
  <c r="M39" i="10"/>
  <c r="M44" i="10"/>
  <c r="G35" i="21"/>
  <c r="S35" i="21"/>
  <c r="S40" i="21"/>
  <c r="S41" i="21"/>
  <c r="S157" i="21"/>
  <c r="S159" i="21"/>
  <c r="F10" i="22"/>
  <c r="G10" i="22"/>
  <c r="S10" i="22"/>
  <c r="I17" i="10"/>
  <c r="X17" i="10"/>
  <c r="AA52" i="10"/>
  <c r="I177" i="10"/>
  <c r="I181" i="10"/>
  <c r="I193" i="10"/>
  <c r="M144" i="10"/>
  <c r="M195" i="10"/>
  <c r="I169" i="10"/>
  <c r="I171" i="10"/>
  <c r="X56" i="10"/>
  <c r="Z233" i="10"/>
  <c r="S36" i="21"/>
  <c r="L229" i="10"/>
  <c r="M229" i="10"/>
  <c r="M10" i="10"/>
  <c r="X130" i="10"/>
  <c r="Z203" i="10"/>
  <c r="M64" i="10"/>
  <c r="H68" i="10"/>
  <c r="R34" i="10"/>
  <c r="Q37" i="10"/>
  <c r="R37" i="10"/>
  <c r="S37" i="10"/>
  <c r="T37" i="10"/>
  <c r="U37" i="10"/>
  <c r="V37" i="10"/>
  <c r="W37" i="10"/>
  <c r="P38" i="10"/>
  <c r="I65" i="10"/>
  <c r="I64" i="10"/>
  <c r="I68" i="10"/>
  <c r="I71" i="10"/>
  <c r="H80" i="10"/>
  <c r="M80" i="10"/>
  <c r="H78" i="10"/>
  <c r="M78" i="10"/>
  <c r="H77" i="10"/>
  <c r="M76" i="10"/>
  <c r="I141" i="10"/>
  <c r="I139" i="10"/>
  <c r="I138" i="10"/>
  <c r="H42" i="10"/>
  <c r="H40" i="10"/>
  <c r="T13" i="10"/>
  <c r="J67" i="10"/>
  <c r="J65" i="10"/>
  <c r="Q96" i="10"/>
  <c r="R95" i="10"/>
  <c r="L137" i="10"/>
  <c r="M133" i="10"/>
  <c r="M137" i="10"/>
  <c r="K163" i="10"/>
  <c r="L162" i="10"/>
  <c r="L163" i="10"/>
  <c r="J42" i="10"/>
  <c r="J39" i="10"/>
  <c r="J44" i="10"/>
  <c r="J40" i="10"/>
  <c r="M168" i="10"/>
  <c r="K64" i="10"/>
  <c r="K68" i="10"/>
  <c r="J193" i="10"/>
  <c r="J178" i="10"/>
  <c r="I180" i="10"/>
  <c r="M35" i="10"/>
  <c r="I35" i="10"/>
  <c r="J35" i="10"/>
  <c r="K35" i="10"/>
  <c r="L35" i="10"/>
  <c r="L146" i="10"/>
  <c r="M146" i="10"/>
  <c r="S36" i="22"/>
  <c r="K65" i="10"/>
  <c r="J164" i="10"/>
  <c r="J168" i="10"/>
  <c r="J167" i="10"/>
  <c r="I165" i="10"/>
  <c r="I164" i="10"/>
  <c r="I168" i="10"/>
  <c r="I172" i="10"/>
  <c r="H67" i="10"/>
  <c r="M67" i="10"/>
  <c r="H65" i="10"/>
  <c r="M65" i="10"/>
  <c r="S56" i="10"/>
  <c r="T47" i="10"/>
  <c r="P100" i="10"/>
  <c r="P98" i="10"/>
  <c r="P102" i="10"/>
  <c r="P105" i="10"/>
  <c r="P221" i="10"/>
  <c r="P226" i="10"/>
  <c r="P234" i="10"/>
  <c r="L92" i="10"/>
  <c r="M92" i="10"/>
  <c r="L228" i="10"/>
  <c r="M228" i="10"/>
  <c r="H178" i="10"/>
  <c r="M178" i="10"/>
  <c r="Q219" i="10"/>
  <c r="K42" i="10"/>
  <c r="K40" i="10"/>
  <c r="H213" i="10"/>
  <c r="I211" i="10"/>
  <c r="H70" i="10"/>
  <c r="M70" i="10"/>
  <c r="M69" i="10"/>
  <c r="K137" i="10"/>
  <c r="W137" i="10"/>
  <c r="U137" i="10"/>
  <c r="S137" i="10"/>
  <c r="Q137" i="10"/>
  <c r="Y139" i="10"/>
  <c r="Z204" i="10"/>
  <c r="Y204" i="10"/>
  <c r="Z43" i="10"/>
  <c r="Y43" i="10"/>
  <c r="X43" i="10"/>
  <c r="J40" i="17"/>
  <c r="J41" i="17"/>
  <c r="J157" i="17"/>
  <c r="J159" i="17"/>
  <c r="I239" i="10"/>
  <c r="M125" i="10"/>
  <c r="J149" i="10"/>
  <c r="I152" i="10"/>
  <c r="I153" i="10"/>
  <c r="G226" i="10"/>
  <c r="S182" i="10"/>
  <c r="Y56" i="10"/>
  <c r="Z152" i="10"/>
  <c r="G234" i="10"/>
  <c r="R233" i="10"/>
  <c r="S230" i="10"/>
  <c r="X137" i="10"/>
  <c r="V137" i="10"/>
  <c r="T137" i="10"/>
  <c r="R137" i="10"/>
  <c r="P137" i="10"/>
  <c r="Q185" i="10"/>
  <c r="Q187" i="10"/>
  <c r="J82" i="10"/>
  <c r="J85" i="10"/>
  <c r="J50" i="10"/>
  <c r="J47" i="10"/>
  <c r="J10" i="10"/>
  <c r="K50" i="10"/>
  <c r="I35" i="17"/>
  <c r="I40" i="17"/>
  <c r="I41" i="17"/>
  <c r="I157" i="17"/>
  <c r="I159" i="17"/>
  <c r="J69" i="10"/>
  <c r="J70" i="10"/>
  <c r="J71" i="10"/>
  <c r="J83" i="10"/>
  <c r="J231" i="10"/>
  <c r="K231" i="10"/>
  <c r="L231" i="10"/>
  <c r="O171" i="10"/>
  <c r="Y169" i="10"/>
  <c r="X169" i="10"/>
  <c r="O189" i="10"/>
  <c r="Y185" i="10"/>
  <c r="Z172" i="10"/>
  <c r="Z142" i="10"/>
  <c r="Y142" i="10"/>
  <c r="O206" i="10"/>
  <c r="O208" i="10"/>
  <c r="Z220" i="10"/>
  <c r="Z45" i="10"/>
  <c r="M227" i="10"/>
  <c r="M233" i="10"/>
  <c r="M234" i="10"/>
  <c r="AA34" i="10"/>
  <c r="AA127" i="10"/>
  <c r="AA146" i="10"/>
  <c r="AA205" i="10"/>
  <c r="O40" i="10"/>
  <c r="O42" i="10"/>
  <c r="Z206" i="10"/>
  <c r="Z208" i="10"/>
  <c r="Z189" i="10"/>
  <c r="Z191" i="10"/>
  <c r="E37" i="27"/>
  <c r="J230" i="10"/>
  <c r="K230" i="10"/>
  <c r="L230" i="10"/>
  <c r="Q189" i="10"/>
  <c r="Q191" i="10"/>
  <c r="G245" i="10"/>
  <c r="G247" i="10"/>
  <c r="G251" i="10"/>
  <c r="G40" i="21"/>
  <c r="G41" i="21"/>
  <c r="G157" i="21"/>
  <c r="G159" i="21"/>
  <c r="H10" i="21"/>
  <c r="H159" i="21"/>
  <c r="I10" i="21"/>
  <c r="J158" i="10"/>
  <c r="J159" i="10"/>
  <c r="L64" i="10"/>
  <c r="L68" i="10"/>
  <c r="L71" i="10"/>
  <c r="J138" i="10"/>
  <c r="J143" i="10"/>
  <c r="J139" i="10"/>
  <c r="AA203" i="10"/>
  <c r="AA221" i="10"/>
  <c r="AA53" i="10"/>
  <c r="AA13" i="10"/>
  <c r="AA232" i="10"/>
  <c r="L67" i="10"/>
  <c r="AA191" i="10"/>
  <c r="AA170" i="10"/>
  <c r="AA136" i="10"/>
  <c r="AA49" i="10"/>
  <c r="K71" i="10"/>
  <c r="M82" i="10"/>
  <c r="AA172" i="10"/>
  <c r="I156" i="25"/>
  <c r="J154" i="25"/>
  <c r="J156" i="25"/>
  <c r="J63" i="1"/>
  <c r="J64" i="1"/>
  <c r="I64" i="1"/>
  <c r="J45" i="17"/>
  <c r="J46" i="17"/>
  <c r="I46" i="17"/>
  <c r="F64" i="16"/>
  <c r="F69" i="16"/>
  <c r="H124" i="25"/>
  <c r="H125" i="25"/>
  <c r="H127" i="25"/>
  <c r="J64" i="25"/>
  <c r="J69" i="25"/>
  <c r="H50" i="17"/>
  <c r="H47" i="17"/>
  <c r="H51" i="17"/>
  <c r="H54" i="17"/>
  <c r="H51" i="25"/>
  <c r="H54" i="25"/>
  <c r="G143" i="25"/>
  <c r="G151" i="25"/>
  <c r="H60" i="17"/>
  <c r="H61" i="17"/>
  <c r="H63" i="17"/>
  <c r="H64" i="17"/>
  <c r="H69" i="17"/>
  <c r="J122" i="25"/>
  <c r="J123" i="25"/>
  <c r="I123" i="25"/>
  <c r="G61" i="17"/>
  <c r="G63" i="17"/>
  <c r="G60" i="17"/>
  <c r="H94" i="25"/>
  <c r="I90" i="25"/>
  <c r="O72" i="25"/>
  <c r="J51" i="1"/>
  <c r="J56" i="1"/>
  <c r="I56" i="1"/>
  <c r="I59" i="17"/>
  <c r="J58" i="17"/>
  <c r="J59" i="17"/>
  <c r="N96" i="25"/>
  <c r="N99" i="25"/>
  <c r="N108" i="25"/>
  <c r="N158" i="25"/>
  <c r="N160" i="25"/>
  <c r="N162" i="25"/>
  <c r="M96" i="25"/>
  <c r="H66" i="1"/>
  <c r="H68" i="1"/>
  <c r="H65" i="1"/>
  <c r="H88" i="1"/>
  <c r="M99" i="25"/>
  <c r="M108" i="25"/>
  <c r="O95" i="25"/>
  <c r="M237" i="10"/>
  <c r="O102" i="10"/>
  <c r="X98" i="10"/>
  <c r="Y98" i="10"/>
  <c r="AA201" i="10"/>
  <c r="AA206" i="10" s="1"/>
  <c r="H177" i="10"/>
  <c r="M176" i="10"/>
  <c r="H180" i="10"/>
  <c r="M180" i="10"/>
  <c r="Z100" i="10"/>
  <c r="Y100" i="10"/>
  <c r="X100" i="10"/>
  <c r="K176" i="10"/>
  <c r="L175" i="10"/>
  <c r="L176" i="10"/>
  <c r="G33" i="17"/>
  <c r="G40" i="17"/>
  <c r="G41" i="17"/>
  <c r="G157" i="17"/>
  <c r="G159" i="17"/>
  <c r="G161" i="17"/>
  <c r="H10" i="17"/>
  <c r="M47" i="10"/>
  <c r="AA219" i="10"/>
  <c r="AA220" i="10" s="1"/>
  <c r="AA182" i="10"/>
  <c r="AA183" i="10" s="1"/>
  <c r="AA140" i="10"/>
  <c r="AA124" i="10"/>
  <c r="AA103" i="10"/>
  <c r="AA230" i="10"/>
  <c r="AA202" i="10"/>
  <c r="AA147" i="10"/>
  <c r="AA55" i="10"/>
  <c r="AA46" i="10"/>
  <c r="AA157" i="10"/>
  <c r="AA145" i="10"/>
  <c r="AA133" i="10"/>
  <c r="AA137" i="10" s="1"/>
  <c r="AA51" i="10"/>
  <c r="AA41" i="10"/>
  <c r="AA15" i="10"/>
  <c r="AA149" i="10"/>
  <c r="AA47" i="10"/>
  <c r="AA187" i="10"/>
  <c r="AA151" i="10"/>
  <c r="AA122" i="10"/>
  <c r="AA190" i="10"/>
  <c r="AA99" i="10"/>
  <c r="AA37" i="10"/>
  <c r="AA237" i="10"/>
  <c r="AA223" i="10"/>
  <c r="AA50" i="10"/>
  <c r="AA16" i="10"/>
  <c r="J227" i="10"/>
  <c r="I233" i="10"/>
  <c r="I234" i="10"/>
  <c r="I56" i="10"/>
  <c r="I57" i="10"/>
  <c r="I245" i="10"/>
  <c r="I247" i="10"/>
  <c r="I249" i="10"/>
  <c r="D9" i="19"/>
  <c r="D13" i="19"/>
  <c r="M139" i="10"/>
  <c r="H143" i="10"/>
  <c r="H153" i="10"/>
  <c r="AA138" i="10"/>
  <c r="M45" i="10"/>
  <c r="M56" i="10"/>
  <c r="M57" i="10"/>
  <c r="AA10" i="10"/>
  <c r="AA17" i="10" s="1"/>
  <c r="I76" i="10"/>
  <c r="J74" i="10"/>
  <c r="Y222" i="10"/>
  <c r="X222" i="10"/>
  <c r="O226" i="10"/>
  <c r="AA239" i="10"/>
  <c r="M170" i="10"/>
  <c r="M17" i="10"/>
  <c r="M120" i="10"/>
  <c r="M130" i="10"/>
  <c r="M169" i="10"/>
  <c r="M171" i="10"/>
  <c r="I40" i="21"/>
  <c r="I41" i="21"/>
  <c r="I157" i="21"/>
  <c r="I159" i="21"/>
  <c r="J10" i="21"/>
  <c r="J35" i="21"/>
  <c r="M172" i="10"/>
  <c r="M161" i="10"/>
  <c r="K158" i="10"/>
  <c r="M91" i="10"/>
  <c r="M93" i="10"/>
  <c r="Z42" i="10"/>
  <c r="Y42" i="10"/>
  <c r="X42" i="10"/>
  <c r="X44" i="10"/>
  <c r="X57" i="10"/>
  <c r="X245" i="10"/>
  <c r="X247" i="10"/>
  <c r="AA120" i="10"/>
  <c r="Z130" i="10"/>
  <c r="AA142" i="10"/>
  <c r="H33" i="17"/>
  <c r="H40" i="17"/>
  <c r="H41" i="17"/>
  <c r="H157" i="17"/>
  <c r="H159" i="17"/>
  <c r="H161" i="17"/>
  <c r="I10" i="17"/>
  <c r="I161" i="17"/>
  <c r="J10" i="17"/>
  <c r="J161" i="17"/>
  <c r="K47" i="10"/>
  <c r="L47" i="10"/>
  <c r="V139" i="10"/>
  <c r="V141" i="10"/>
  <c r="V138" i="10"/>
  <c r="S141" i="10"/>
  <c r="S139" i="10"/>
  <c r="S138" i="10"/>
  <c r="T56" i="10"/>
  <c r="U47" i="10"/>
  <c r="L164" i="10"/>
  <c r="L168" i="10"/>
  <c r="L165" i="10"/>
  <c r="L167" i="10"/>
  <c r="M138" i="10"/>
  <c r="M143" i="10"/>
  <c r="I143" i="10"/>
  <c r="M68" i="10"/>
  <c r="H71" i="10"/>
  <c r="M71" i="10"/>
  <c r="Z143" i="10"/>
  <c r="Y40" i="10"/>
  <c r="O44" i="10"/>
  <c r="O191" i="10"/>
  <c r="Y191" i="10"/>
  <c r="Y189" i="10"/>
  <c r="O172" i="10"/>
  <c r="Y172" i="10"/>
  <c r="Y171" i="10"/>
  <c r="H35" i="22"/>
  <c r="G35" i="22"/>
  <c r="P141" i="10"/>
  <c r="P139" i="10"/>
  <c r="P138" i="10"/>
  <c r="X141" i="10"/>
  <c r="X139" i="10"/>
  <c r="X138" i="10"/>
  <c r="K238" i="10"/>
  <c r="J239" i="10"/>
  <c r="U138" i="10"/>
  <c r="U141" i="10"/>
  <c r="U139" i="10"/>
  <c r="K164" i="10"/>
  <c r="K168" i="10"/>
  <c r="K165" i="10"/>
  <c r="K167" i="10"/>
  <c r="M77" i="10"/>
  <c r="H81" i="10"/>
  <c r="Y208" i="10"/>
  <c r="Y206" i="10"/>
  <c r="R139" i="10"/>
  <c r="R141" i="10"/>
  <c r="R138" i="10"/>
  <c r="S233" i="10"/>
  <c r="T230" i="10"/>
  <c r="T182" i="10"/>
  <c r="S183" i="10"/>
  <c r="AA204" i="10"/>
  <c r="W141" i="10"/>
  <c r="W139" i="10"/>
  <c r="W138" i="10"/>
  <c r="J211" i="10"/>
  <c r="I213" i="10"/>
  <c r="R96" i="10"/>
  <c r="S95" i="10"/>
  <c r="M40" i="10"/>
  <c r="H44" i="10"/>
  <c r="H57" i="10"/>
  <c r="H245" i="10"/>
  <c r="H247" i="10"/>
  <c r="H251" i="10"/>
  <c r="O249" i="10"/>
  <c r="Q38" i="10"/>
  <c r="M210" i="10"/>
  <c r="M235" i="10"/>
  <c r="Z56" i="10"/>
  <c r="AA56" i="10"/>
  <c r="Z252" i="10"/>
  <c r="Z222" i="10"/>
  <c r="J120" i="10"/>
  <c r="J130" i="10"/>
  <c r="J17" i="10"/>
  <c r="J169" i="10"/>
  <c r="J171" i="10"/>
  <c r="J172" i="10"/>
  <c r="K10" i="10"/>
  <c r="J170" i="10"/>
  <c r="J45" i="10"/>
  <c r="J56" i="10"/>
  <c r="J57" i="10"/>
  <c r="T141" i="10"/>
  <c r="T139" i="10"/>
  <c r="T138" i="10"/>
  <c r="R187" i="10"/>
  <c r="R185" i="10"/>
  <c r="R184" i="10"/>
  <c r="K149" i="10"/>
  <c r="J152" i="10"/>
  <c r="J153" i="10"/>
  <c r="Q138" i="10"/>
  <c r="Q141" i="10"/>
  <c r="Q139" i="10"/>
  <c r="K138" i="10"/>
  <c r="K143" i="10"/>
  <c r="K139" i="10"/>
  <c r="K141" i="10"/>
  <c r="H214" i="10"/>
  <c r="H217" i="10"/>
  <c r="M217" i="10"/>
  <c r="H215" i="10"/>
  <c r="M215" i="10"/>
  <c r="M213" i="10"/>
  <c r="R219" i="10"/>
  <c r="Q220" i="10"/>
  <c r="L138" i="10"/>
  <c r="L143" i="10"/>
  <c r="L139" i="10"/>
  <c r="L141" i="10"/>
  <c r="Q100" i="10"/>
  <c r="Q98" i="10"/>
  <c r="Q97" i="10"/>
  <c r="U13" i="10"/>
  <c r="T17" i="10"/>
  <c r="P40" i="10"/>
  <c r="P42" i="10"/>
  <c r="P41" i="10"/>
  <c r="P39" i="10"/>
  <c r="S34" i="10"/>
  <c r="R38" i="10"/>
  <c r="AA208" i="10"/>
  <c r="AA189" i="10"/>
  <c r="Z153" i="10"/>
  <c r="AA153" i="10"/>
  <c r="P143" i="10"/>
  <c r="P153" i="10"/>
  <c r="I63" i="17"/>
  <c r="I60" i="17"/>
  <c r="J124" i="25"/>
  <c r="J125" i="25"/>
  <c r="J127" i="25"/>
  <c r="I65" i="1"/>
  <c r="I68" i="1"/>
  <c r="I66" i="1"/>
  <c r="I88" i="1"/>
  <c r="O96" i="25"/>
  <c r="J90" i="25"/>
  <c r="J94" i="25"/>
  <c r="I94" i="25"/>
  <c r="J66" i="1"/>
  <c r="J65" i="1"/>
  <c r="J68" i="1"/>
  <c r="J88" i="1"/>
  <c r="H69" i="1"/>
  <c r="H78" i="1"/>
  <c r="H95" i="25"/>
  <c r="H96" i="25"/>
  <c r="H98" i="25"/>
  <c r="H118" i="25"/>
  <c r="I50" i="17"/>
  <c r="I47" i="17"/>
  <c r="I51" i="17"/>
  <c r="I54" i="17"/>
  <c r="O99" i="25"/>
  <c r="O108" i="25"/>
  <c r="J63" i="17"/>
  <c r="J60" i="17"/>
  <c r="J64" i="17"/>
  <c r="J69" i="17"/>
  <c r="G64" i="17"/>
  <c r="G69" i="17"/>
  <c r="I127" i="25"/>
  <c r="I125" i="25"/>
  <c r="I124" i="25"/>
  <c r="I128" i="25"/>
  <c r="I131" i="25"/>
  <c r="H128" i="25"/>
  <c r="H131" i="25"/>
  <c r="J50" i="17"/>
  <c r="J47" i="17"/>
  <c r="J51" i="17"/>
  <c r="J54" i="17"/>
  <c r="Y226" i="10"/>
  <c r="O234" i="10"/>
  <c r="Y234" i="10"/>
  <c r="J76" i="10"/>
  <c r="K74" i="10"/>
  <c r="M33" i="10"/>
  <c r="M59" i="10"/>
  <c r="H181" i="10"/>
  <c r="M177" i="10"/>
  <c r="O105" i="10"/>
  <c r="Y105" i="10"/>
  <c r="Y102" i="10"/>
  <c r="I78" i="10"/>
  <c r="I77" i="10"/>
  <c r="I81" i="10"/>
  <c r="I86" i="10"/>
  <c r="I80" i="10"/>
  <c r="L178" i="10"/>
  <c r="L180" i="10"/>
  <c r="L177" i="10"/>
  <c r="L181" i="10"/>
  <c r="L193" i="10"/>
  <c r="AA100" i="10"/>
  <c r="Z102" i="10"/>
  <c r="J233" i="10"/>
  <c r="J234" i="10"/>
  <c r="J245" i="10"/>
  <c r="J247" i="10"/>
  <c r="J249" i="10"/>
  <c r="E9" i="19"/>
  <c r="E13" i="19"/>
  <c r="K227" i="10"/>
  <c r="K178" i="10"/>
  <c r="K177" i="10"/>
  <c r="K181" i="10"/>
  <c r="K193" i="10"/>
  <c r="K180" i="10"/>
  <c r="M173" i="10"/>
  <c r="M118" i="10"/>
  <c r="M131" i="10"/>
  <c r="L158" i="10"/>
  <c r="L159" i="10"/>
  <c r="K159" i="10"/>
  <c r="K35" i="21"/>
  <c r="J40" i="21"/>
  <c r="J41" i="21"/>
  <c r="J157" i="21"/>
  <c r="J159" i="21"/>
  <c r="K10" i="21"/>
  <c r="T34" i="10"/>
  <c r="S38" i="10"/>
  <c r="L149" i="10"/>
  <c r="L152" i="10"/>
  <c r="L153" i="10"/>
  <c r="K152" i="10"/>
  <c r="K153" i="10"/>
  <c r="P44" i="10"/>
  <c r="P57" i="10"/>
  <c r="P245" i="10"/>
  <c r="P247" i="10"/>
  <c r="Q143" i="10"/>
  <c r="Q153" i="10"/>
  <c r="Z226" i="10"/>
  <c r="AA222" i="10"/>
  <c r="I215" i="10"/>
  <c r="I214" i="10"/>
  <c r="I218" i="10"/>
  <c r="I217" i="10"/>
  <c r="U143" i="10"/>
  <c r="U153" i="10"/>
  <c r="X143" i="10"/>
  <c r="M72" i="10"/>
  <c r="M60" i="10"/>
  <c r="V13" i="10"/>
  <c r="U17" i="10"/>
  <c r="Q224" i="10"/>
  <c r="Q221" i="10"/>
  <c r="R189" i="10"/>
  <c r="R191" i="10"/>
  <c r="T143" i="10"/>
  <c r="T153" i="10"/>
  <c r="T95" i="10"/>
  <c r="S96" i="10"/>
  <c r="K211" i="10"/>
  <c r="J213" i="10"/>
  <c r="S187" i="10"/>
  <c r="S185" i="10"/>
  <c r="S184" i="10"/>
  <c r="R143" i="10"/>
  <c r="R153" i="10"/>
  <c r="M81" i="10"/>
  <c r="H86" i="10"/>
  <c r="M86" i="10"/>
  <c r="Y44" i="10"/>
  <c r="O57" i="10"/>
  <c r="S143" i="10"/>
  <c r="S153" i="10"/>
  <c r="V143" i="10"/>
  <c r="V153" i="10"/>
  <c r="R41" i="10"/>
  <c r="R40" i="10"/>
  <c r="R42" i="10"/>
  <c r="R39" i="10"/>
  <c r="Q102" i="10"/>
  <c r="Q105" i="10"/>
  <c r="R220" i="10"/>
  <c r="S219" i="10"/>
  <c r="M214" i="10"/>
  <c r="H218" i="10"/>
  <c r="M218" i="10"/>
  <c r="M149" i="10"/>
  <c r="M152" i="10"/>
  <c r="M153" i="10"/>
  <c r="K120" i="10"/>
  <c r="K130" i="10"/>
  <c r="K45" i="10"/>
  <c r="K56" i="10"/>
  <c r="K57" i="10"/>
  <c r="K169" i="10"/>
  <c r="K171" i="10"/>
  <c r="K172" i="10"/>
  <c r="K17" i="10"/>
  <c r="L10" i="10"/>
  <c r="K170" i="10"/>
  <c r="Q41" i="10"/>
  <c r="Q40" i="10"/>
  <c r="Q39" i="10"/>
  <c r="Q42" i="10"/>
  <c r="R98" i="10"/>
  <c r="R97" i="10"/>
  <c r="R100" i="10"/>
  <c r="W143" i="10"/>
  <c r="W153" i="10"/>
  <c r="U182" i="10"/>
  <c r="T183" i="10"/>
  <c r="G40" i="22"/>
  <c r="G41" i="22"/>
  <c r="G157" i="22"/>
  <c r="G159" i="22"/>
  <c r="H10" i="22"/>
  <c r="S35" i="22"/>
  <c r="S40" i="22"/>
  <c r="S41" i="22"/>
  <c r="S157" i="22"/>
  <c r="S159" i="22"/>
  <c r="F10" i="23"/>
  <c r="G10" i="23"/>
  <c r="V47" i="10"/>
  <c r="U56" i="10"/>
  <c r="U230" i="10"/>
  <c r="T233" i="10"/>
  <c r="L238" i="10"/>
  <c r="L239" i="10"/>
  <c r="K239" i="10"/>
  <c r="I35" i="22"/>
  <c r="H40" i="22"/>
  <c r="H41" i="22"/>
  <c r="H157" i="22"/>
  <c r="AA42" i="10"/>
  <c r="Z44" i="10"/>
  <c r="H99" i="25"/>
  <c r="H108" i="25"/>
  <c r="J69" i="1"/>
  <c r="J78" i="1"/>
  <c r="I69" i="1"/>
  <c r="I78" i="1"/>
  <c r="J128" i="25"/>
  <c r="J131" i="25"/>
  <c r="I96" i="25"/>
  <c r="I95" i="25"/>
  <c r="I98" i="25"/>
  <c r="I118" i="25"/>
  <c r="I64" i="17"/>
  <c r="I69" i="17"/>
  <c r="J96" i="25"/>
  <c r="J98" i="25"/>
  <c r="J95" i="25"/>
  <c r="J99" i="25"/>
  <c r="J108" i="25"/>
  <c r="J118" i="25"/>
  <c r="S189" i="10"/>
  <c r="S191" i="10"/>
  <c r="Q226" i="10"/>
  <c r="Q234" i="10"/>
  <c r="K76" i="10"/>
  <c r="L74" i="10"/>
  <c r="L76" i="10"/>
  <c r="K233" i="10"/>
  <c r="K234" i="10"/>
  <c r="L227" i="10"/>
  <c r="L233" i="10"/>
  <c r="L234" i="10"/>
  <c r="H193" i="10"/>
  <c r="M181" i="10"/>
  <c r="J80" i="10"/>
  <c r="J78" i="10"/>
  <c r="J77" i="10"/>
  <c r="J81" i="10"/>
  <c r="J86" i="10"/>
  <c r="R102" i="10"/>
  <c r="R105" i="10"/>
  <c r="AA102" i="10"/>
  <c r="Z105" i="10"/>
  <c r="AA105" i="10"/>
  <c r="L35" i="21"/>
  <c r="K40" i="21"/>
  <c r="K41" i="21"/>
  <c r="K157" i="21"/>
  <c r="K159" i="21"/>
  <c r="L10" i="21"/>
  <c r="M158" i="10"/>
  <c r="M159" i="10"/>
  <c r="Q44" i="10"/>
  <c r="Q57" i="10"/>
  <c r="L17" i="10"/>
  <c r="L169" i="10"/>
  <c r="L171" i="10"/>
  <c r="L172" i="10"/>
  <c r="L45" i="10"/>
  <c r="L56" i="10"/>
  <c r="L57" i="10"/>
  <c r="L170" i="10"/>
  <c r="L120" i="10"/>
  <c r="L130" i="10"/>
  <c r="U233" i="10"/>
  <c r="V230" i="10"/>
  <c r="W47" i="10"/>
  <c r="W56" i="10"/>
  <c r="V56" i="10"/>
  <c r="U183" i="10"/>
  <c r="V182" i="10"/>
  <c r="T96" i="10"/>
  <c r="U95" i="10"/>
  <c r="T38" i="10"/>
  <c r="U34" i="10"/>
  <c r="Q245" i="10"/>
  <c r="Q247" i="10"/>
  <c r="S220" i="10"/>
  <c r="T219" i="10"/>
  <c r="K213" i="10"/>
  <c r="L211" i="10"/>
  <c r="L213" i="10"/>
  <c r="S10" i="23"/>
  <c r="S159" i="23"/>
  <c r="F10" i="24"/>
  <c r="G10" i="24"/>
  <c r="G159" i="23"/>
  <c r="H10" i="23"/>
  <c r="H159" i="23"/>
  <c r="I10" i="23"/>
  <c r="I159" i="23"/>
  <c r="J10" i="23"/>
  <c r="J159" i="23"/>
  <c r="K10" i="23"/>
  <c r="K159" i="23"/>
  <c r="L10" i="23"/>
  <c r="L159" i="23"/>
  <c r="M10" i="23"/>
  <c r="M159" i="23"/>
  <c r="N10" i="23"/>
  <c r="N159" i="23"/>
  <c r="O10" i="23"/>
  <c r="O159" i="23"/>
  <c r="P10" i="23"/>
  <c r="P159" i="23"/>
  <c r="Q10" i="23"/>
  <c r="Q159" i="23"/>
  <c r="R10" i="23"/>
  <c r="R159" i="23"/>
  <c r="K245" i="10"/>
  <c r="K247" i="10"/>
  <c r="K249" i="10"/>
  <c r="F9" i="19"/>
  <c r="F13" i="19"/>
  <c r="R44" i="10"/>
  <c r="R57" i="10"/>
  <c r="Y57" i="10"/>
  <c r="O245" i="10"/>
  <c r="J215" i="10"/>
  <c r="J217" i="10"/>
  <c r="J214" i="10"/>
  <c r="J218" i="10"/>
  <c r="Z57" i="10"/>
  <c r="H159" i="22"/>
  <c r="I10" i="22"/>
  <c r="J35" i="22"/>
  <c r="I40" i="22"/>
  <c r="I41" i="22"/>
  <c r="I157" i="22"/>
  <c r="T185" i="10"/>
  <c r="T187" i="10"/>
  <c r="T184" i="10"/>
  <c r="M154" i="10"/>
  <c r="M132" i="10"/>
  <c r="R224" i="10"/>
  <c r="R221" i="10"/>
  <c r="M87" i="10"/>
  <c r="M73" i="10"/>
  <c r="S100" i="10"/>
  <c r="S97" i="10"/>
  <c r="S98" i="10"/>
  <c r="W13" i="10"/>
  <c r="W17" i="10"/>
  <c r="V17" i="10"/>
  <c r="Z234" i="10"/>
  <c r="AA234" i="10"/>
  <c r="S40" i="10"/>
  <c r="S41" i="10"/>
  <c r="S39" i="10"/>
  <c r="S42" i="10"/>
  <c r="M238" i="10"/>
  <c r="M239" i="10"/>
  <c r="S102" i="10"/>
  <c r="S105" i="10"/>
  <c r="Z245" i="10"/>
  <c r="I99" i="25"/>
  <c r="I108" i="25"/>
  <c r="K80" i="10"/>
  <c r="K78" i="10"/>
  <c r="K77" i="10"/>
  <c r="K81" i="10"/>
  <c r="K86" i="10"/>
  <c r="L78" i="10"/>
  <c r="L77" i="10"/>
  <c r="L81" i="10"/>
  <c r="L86" i="10"/>
  <c r="L80" i="10"/>
  <c r="M160" i="10"/>
  <c r="M155" i="10"/>
  <c r="M35" i="21"/>
  <c r="L40" i="21"/>
  <c r="L41" i="21"/>
  <c r="L157" i="21"/>
  <c r="L159" i="21"/>
  <c r="M10" i="21"/>
  <c r="M244" i="10"/>
  <c r="M236" i="10"/>
  <c r="R226" i="10"/>
  <c r="R234" i="10"/>
  <c r="R245" i="10"/>
  <c r="R247" i="10"/>
  <c r="K35" i="22"/>
  <c r="J40" i="22"/>
  <c r="J41" i="22"/>
  <c r="J157" i="22"/>
  <c r="AA57" i="10"/>
  <c r="O247" i="10"/>
  <c r="Y245" i="10"/>
  <c r="K214" i="10"/>
  <c r="K218" i="10"/>
  <c r="K215" i="10"/>
  <c r="K217" i="10"/>
  <c r="U38" i="10"/>
  <c r="V34" i="10"/>
  <c r="T98" i="10"/>
  <c r="T100" i="10"/>
  <c r="T97" i="10"/>
  <c r="I159" i="22"/>
  <c r="J10" i="22"/>
  <c r="J159" i="22"/>
  <c r="K10" i="22"/>
  <c r="S10" i="24"/>
  <c r="S159" i="24"/>
  <c r="G159" i="24"/>
  <c r="H10" i="24"/>
  <c r="H159" i="24"/>
  <c r="I10" i="24"/>
  <c r="I159" i="24"/>
  <c r="J10" i="24"/>
  <c r="J159" i="24"/>
  <c r="K10" i="24"/>
  <c r="K159" i="24"/>
  <c r="L10" i="24"/>
  <c r="L159" i="24"/>
  <c r="M10" i="24"/>
  <c r="M159" i="24"/>
  <c r="N10" i="24"/>
  <c r="N159" i="24"/>
  <c r="O10" i="24"/>
  <c r="O159" i="24"/>
  <c r="P10" i="24"/>
  <c r="P159" i="24"/>
  <c r="Q10" i="24"/>
  <c r="Q159" i="24"/>
  <c r="R10" i="24"/>
  <c r="R159" i="24"/>
  <c r="U219" i="10"/>
  <c r="T220" i="10"/>
  <c r="T42" i="10"/>
  <c r="T39" i="10"/>
  <c r="T40" i="10"/>
  <c r="T41" i="10"/>
  <c r="V183" i="10"/>
  <c r="W182" i="10"/>
  <c r="W183" i="10"/>
  <c r="V233" i="10"/>
  <c r="W230" i="10"/>
  <c r="W233" i="10"/>
  <c r="L245" i="10"/>
  <c r="L247" i="10"/>
  <c r="L249" i="10"/>
  <c r="G9" i="19"/>
  <c r="G13" i="19"/>
  <c r="S44" i="10"/>
  <c r="S57" i="10"/>
  <c r="M245" i="10"/>
  <c r="M247" i="10"/>
  <c r="M249" i="10"/>
  <c r="T189" i="10"/>
  <c r="T191" i="10"/>
  <c r="S224" i="10"/>
  <c r="S221" i="10"/>
  <c r="U185" i="10"/>
  <c r="U187" i="10"/>
  <c r="U184" i="10"/>
  <c r="L214" i="10"/>
  <c r="L218" i="10"/>
  <c r="L215" i="10"/>
  <c r="L217" i="10"/>
  <c r="V95" i="10"/>
  <c r="U96" i="10"/>
  <c r="U189" i="10"/>
  <c r="U191" i="10"/>
  <c r="N35" i="21"/>
  <c r="M40" i="21"/>
  <c r="M41" i="21"/>
  <c r="M157" i="21"/>
  <c r="M159" i="21"/>
  <c r="N10" i="21"/>
  <c r="U98" i="10"/>
  <c r="U97" i="10"/>
  <c r="U100" i="10"/>
  <c r="V219" i="10"/>
  <c r="U220" i="10"/>
  <c r="Z247" i="10"/>
  <c r="AA245" i="10"/>
  <c r="W95" i="10"/>
  <c r="W96" i="10"/>
  <c r="V96" i="10"/>
  <c r="W187" i="10"/>
  <c r="W185" i="10"/>
  <c r="W184" i="10"/>
  <c r="T44" i="10"/>
  <c r="T57" i="10"/>
  <c r="T102" i="10"/>
  <c r="T105" i="10"/>
  <c r="V38" i="10"/>
  <c r="W34" i="10"/>
  <c r="W38" i="10"/>
  <c r="V187" i="10"/>
  <c r="V185" i="10"/>
  <c r="V184" i="10"/>
  <c r="U41" i="10"/>
  <c r="U42" i="10"/>
  <c r="U40" i="10"/>
  <c r="U39" i="10"/>
  <c r="S226" i="10"/>
  <c r="S234" i="10"/>
  <c r="S245" i="10"/>
  <c r="S247" i="10"/>
  <c r="T221" i="10"/>
  <c r="T224" i="10"/>
  <c r="T226" i="10"/>
  <c r="T234" i="10"/>
  <c r="Y247" i="10"/>
  <c r="O251" i="10"/>
  <c r="P249" i="10"/>
  <c r="P251" i="10"/>
  <c r="Q249" i="10"/>
  <c r="Q251" i="10"/>
  <c r="R249" i="10"/>
  <c r="R251" i="10"/>
  <c r="S249" i="10"/>
  <c r="L35" i="22"/>
  <c r="K40" i="22"/>
  <c r="K41" i="22"/>
  <c r="K157" i="22"/>
  <c r="K159" i="22"/>
  <c r="L10" i="22"/>
  <c r="O35" i="21"/>
  <c r="N40" i="21"/>
  <c r="N41" i="21"/>
  <c r="N157" i="21"/>
  <c r="N159" i="21"/>
  <c r="O10" i="21"/>
  <c r="S251" i="10"/>
  <c r="T249" i="10"/>
  <c r="T245" i="10"/>
  <c r="T247" i="10"/>
  <c r="M35" i="22"/>
  <c r="L40" i="22"/>
  <c r="L41" i="22"/>
  <c r="L157" i="22"/>
  <c r="L159" i="22"/>
  <c r="M10" i="22"/>
  <c r="U44" i="10"/>
  <c r="U57" i="10"/>
  <c r="W39" i="10"/>
  <c r="W42" i="10"/>
  <c r="W40" i="10"/>
  <c r="W41" i="10"/>
  <c r="V189" i="10"/>
  <c r="V191" i="10"/>
  <c r="V39" i="10"/>
  <c r="V41" i="10"/>
  <c r="V42" i="10"/>
  <c r="V40" i="10"/>
  <c r="W189" i="10"/>
  <c r="W191" i="10"/>
  <c r="V100" i="10"/>
  <c r="V97" i="10"/>
  <c r="V98" i="10"/>
  <c r="U221" i="10"/>
  <c r="U224" i="10"/>
  <c r="U102" i="10"/>
  <c r="U105" i="10"/>
  <c r="W98" i="10"/>
  <c r="W97" i="10"/>
  <c r="W100" i="10"/>
  <c r="V220" i="10"/>
  <c r="W219" i="10"/>
  <c r="W220" i="10"/>
  <c r="V44" i="10"/>
  <c r="V57" i="10"/>
  <c r="P35" i="21"/>
  <c r="O40" i="21"/>
  <c r="O41" i="21"/>
  <c r="O157" i="21"/>
  <c r="O159" i="21"/>
  <c r="P10" i="21"/>
  <c r="T251" i="10"/>
  <c r="U249" i="10"/>
  <c r="W102" i="10"/>
  <c r="W105" i="10"/>
  <c r="V102" i="10"/>
  <c r="V105" i="10"/>
  <c r="W221" i="10"/>
  <c r="W224" i="10"/>
  <c r="W226" i="10"/>
  <c r="W234" i="10"/>
  <c r="V224" i="10"/>
  <c r="V221" i="10"/>
  <c r="U226" i="10"/>
  <c r="U234" i="10"/>
  <c r="U245" i="10"/>
  <c r="U247" i="10"/>
  <c r="U251" i="10"/>
  <c r="V249" i="10"/>
  <c r="N35" i="22"/>
  <c r="M40" i="22"/>
  <c r="M41" i="22"/>
  <c r="M157" i="22"/>
  <c r="M159" i="22"/>
  <c r="N10" i="22"/>
  <c r="W44" i="10"/>
  <c r="W57" i="10"/>
  <c r="Q35" i="21"/>
  <c r="P40" i="21"/>
  <c r="P41" i="21"/>
  <c r="P157" i="21"/>
  <c r="P159" i="21"/>
  <c r="Q10" i="21"/>
  <c r="W245" i="10"/>
  <c r="W247" i="10"/>
  <c r="V226" i="10"/>
  <c r="V234" i="10"/>
  <c r="V245" i="10"/>
  <c r="V247" i="10"/>
  <c r="V251" i="10"/>
  <c r="W249" i="10"/>
  <c r="O35" i="22"/>
  <c r="N40" i="22"/>
  <c r="N41" i="22"/>
  <c r="N157" i="22"/>
  <c r="N159" i="22"/>
  <c r="O10" i="22"/>
  <c r="R35" i="21"/>
  <c r="R40" i="21"/>
  <c r="R41" i="21"/>
  <c r="R157" i="21"/>
  <c r="Q40" i="21"/>
  <c r="Q41" i="21"/>
  <c r="Q157" i="21"/>
  <c r="Q159" i="21"/>
  <c r="R10" i="21"/>
  <c r="R159" i="21"/>
  <c r="P35" i="22"/>
  <c r="O40" i="22"/>
  <c r="O41" i="22"/>
  <c r="O157" i="22"/>
  <c r="O159" i="22"/>
  <c r="P10" i="22"/>
  <c r="W251" i="10"/>
  <c r="Q35" i="22"/>
  <c r="P40" i="22"/>
  <c r="P41" i="22"/>
  <c r="P157" i="22"/>
  <c r="P159" i="22"/>
  <c r="Q10" i="22"/>
  <c r="R35" i="22"/>
  <c r="R40" i="22"/>
  <c r="R41" i="22"/>
  <c r="R157" i="22"/>
  <c r="Q40" i="22"/>
  <c r="Q41" i="22"/>
  <c r="Q157" i="22"/>
  <c r="Q159" i="22"/>
  <c r="R10" i="22"/>
  <c r="R159" i="22"/>
  <c r="AA229" i="10" l="1"/>
  <c r="AA247" i="10"/>
  <c r="AA104" i="10"/>
  <c r="AA128" i="10"/>
  <c r="AA171" i="10"/>
  <c r="N12" i="26"/>
  <c r="N15" i="26" s="1"/>
  <c r="N155" i="26" s="1"/>
  <c r="AA45" i="10"/>
  <c r="AA231" i="10"/>
  <c r="AA54" i="10"/>
  <c r="AA184" i="10"/>
  <c r="AA119" i="10"/>
  <c r="AA130" i="10" s="1"/>
  <c r="AA125" i="10"/>
  <c r="AA141" i="10"/>
  <c r="AA143" i="10" s="1"/>
  <c r="AA40" i="10"/>
  <c r="AA185" i="10"/>
  <c r="AA228" i="10"/>
  <c r="AA101" i="10"/>
  <c r="AA188" i="10"/>
  <c r="AA152" i="10"/>
  <c r="Q12" i="26"/>
  <c r="Q15" i="26" s="1"/>
  <c r="Q155" i="26" s="1"/>
  <c r="M12" i="26"/>
  <c r="M15" i="26" s="1"/>
  <c r="M155" i="26" s="1"/>
  <c r="I12" i="26"/>
  <c r="I15" i="26" s="1"/>
  <c r="I155" i="26" s="1"/>
  <c r="J12" i="26"/>
  <c r="J15" i="26" s="1"/>
  <c r="J155" i="26" s="1"/>
  <c r="AA36" i="10"/>
  <c r="AA38" i="10" s="1"/>
  <c r="AA144" i="10"/>
  <c r="AA97" i="10"/>
  <c r="AA207" i="10"/>
  <c r="AA224" i="10"/>
  <c r="AA226" i="10" s="1"/>
  <c r="AA186" i="10"/>
  <c r="AA95" i="10"/>
  <c r="AA96" i="10" s="1"/>
  <c r="AA148" i="10"/>
  <c r="AA199" i="10"/>
  <c r="AA200" i="10" s="1"/>
  <c r="AA225" i="10"/>
  <c r="AA159" i="10"/>
  <c r="AA150" i="10"/>
  <c r="AA227" i="10"/>
  <c r="AA98" i="10"/>
  <c r="AA156" i="10"/>
  <c r="AA169" i="10"/>
  <c r="AA39" i="10"/>
  <c r="AA233" i="10"/>
  <c r="P12" i="26"/>
  <c r="P15" i="26" s="1"/>
  <c r="P155" i="26" s="1"/>
  <c r="L12" i="26"/>
  <c r="L15" i="26" s="1"/>
  <c r="L155" i="26" s="1"/>
  <c r="H12" i="26"/>
  <c r="H15" i="26" s="1"/>
  <c r="H155" i="26" s="1"/>
  <c r="E15" i="26"/>
  <c r="E155" i="26" s="1"/>
  <c r="F12" i="26"/>
  <c r="F15" i="26" s="1"/>
  <c r="F155" i="26" s="1"/>
  <c r="O12" i="26"/>
  <c r="O15" i="26" s="1"/>
  <c r="O155" i="26" s="1"/>
  <c r="K12" i="26"/>
  <c r="K15" i="26" s="1"/>
  <c r="K155" i="26" s="1"/>
  <c r="AA44" i="10" l="1"/>
  <c r="AA252" i="10"/>
</calcChain>
</file>

<file path=xl/sharedStrings.xml><?xml version="1.0" encoding="utf-8"?>
<sst xmlns="http://schemas.openxmlformats.org/spreadsheetml/2006/main" count="2522" uniqueCount="373">
  <si>
    <t>OPERATING BUDGET</t>
  </si>
  <si>
    <t>REVENUES</t>
  </si>
  <si>
    <t>FEFP</t>
  </si>
  <si>
    <t>Transportation</t>
  </si>
  <si>
    <t>EXPENDITURES</t>
  </si>
  <si>
    <t>INSTRUCTION</t>
  </si>
  <si>
    <t>Classroom Teachers</t>
  </si>
  <si>
    <t>Retirement</t>
  </si>
  <si>
    <t>Payroll Taxes</t>
  </si>
  <si>
    <t>Health Insurance</t>
  </si>
  <si>
    <t>Workers Compensation</t>
  </si>
  <si>
    <t>Contracted Services</t>
  </si>
  <si>
    <t>Travel</t>
  </si>
  <si>
    <t>Supplies</t>
  </si>
  <si>
    <t>Textbooks</t>
  </si>
  <si>
    <t>Equipment</t>
  </si>
  <si>
    <t>Software</t>
  </si>
  <si>
    <t>Substitutes</t>
  </si>
  <si>
    <t>Total Instruction</t>
  </si>
  <si>
    <t>STAFF TRAINING</t>
  </si>
  <si>
    <t>Legal Fees</t>
  </si>
  <si>
    <t>Insurance</t>
  </si>
  <si>
    <t>District Fee</t>
  </si>
  <si>
    <t>Total Board</t>
  </si>
  <si>
    <t>BOARD</t>
  </si>
  <si>
    <t>GENERAL ADMINISTRATION</t>
  </si>
  <si>
    <t>SCHOOL ADMINISTRATION</t>
  </si>
  <si>
    <t>Total Administration Salaries</t>
  </si>
  <si>
    <t>Total Administration Benefits</t>
  </si>
  <si>
    <t>Equipment Rental</t>
  </si>
  <si>
    <t>Postage</t>
  </si>
  <si>
    <t>Total Administration Other</t>
  </si>
  <si>
    <t>Total School Administration</t>
  </si>
  <si>
    <t>Rents</t>
  </si>
  <si>
    <t>FISCAL</t>
  </si>
  <si>
    <t>TRANSPORTATION</t>
  </si>
  <si>
    <t>PLANT OPERATIONS</t>
  </si>
  <si>
    <t>Telephone</t>
  </si>
  <si>
    <t>Utilities</t>
  </si>
  <si>
    <t>Total Plant Operations</t>
  </si>
  <si>
    <t>TOTAL EXPENDITURES</t>
  </si>
  <si>
    <t>Total Instruction Salaries</t>
  </si>
  <si>
    <t>Total Instruction Benefits</t>
  </si>
  <si>
    <t>Total Instruction Other</t>
  </si>
  <si>
    <t>Administrator</t>
  </si>
  <si>
    <t>Clerk</t>
  </si>
  <si>
    <t>Contracted Services - Finance</t>
  </si>
  <si>
    <t>Contracted Services - HR</t>
  </si>
  <si>
    <t>Total Fiscal</t>
  </si>
  <si>
    <t>TOTAL REVENUES</t>
  </si>
  <si>
    <t>FACILITIES ACQUISITION</t>
  </si>
  <si>
    <t>Per Worksheet</t>
  </si>
  <si>
    <t>FICA: 7.65% - SUTA 2.7%</t>
  </si>
  <si>
    <t>1 %</t>
  </si>
  <si>
    <t>Flat</t>
  </si>
  <si>
    <t>5%</t>
  </si>
  <si>
    <t>FY06</t>
  </si>
  <si>
    <t>FY07</t>
  </si>
  <si>
    <t>FY08</t>
  </si>
  <si>
    <t>FY09</t>
  </si>
  <si>
    <t>ENROLLMENT</t>
  </si>
  <si>
    <t>FISCAL YEARS 2006 - 10</t>
  </si>
  <si>
    <t>FY10</t>
  </si>
  <si>
    <t>$350 / eligible student</t>
  </si>
  <si>
    <t>Inflation</t>
  </si>
  <si>
    <t>Implementation Grant</t>
  </si>
  <si>
    <t>PUPIL PERSONNEL SERVICES</t>
  </si>
  <si>
    <t>$30 / student</t>
  </si>
  <si>
    <t>$350 /student</t>
  </si>
  <si>
    <t>AV Materials</t>
  </si>
  <si>
    <t>$80 / mo / classroom</t>
  </si>
  <si>
    <t>$500 / ESE student</t>
  </si>
  <si>
    <t>$300 / classroom</t>
  </si>
  <si>
    <t>Advertising</t>
  </si>
  <si>
    <t>Computed</t>
  </si>
  <si>
    <t>Contracted Services - Development</t>
  </si>
  <si>
    <t>Contracted Services - Audit</t>
  </si>
  <si>
    <t>Total Facilities Acquisition</t>
  </si>
  <si>
    <t>FFE</t>
  </si>
  <si>
    <t>Computer Hardware</t>
  </si>
  <si>
    <t>FOOD SERVICE</t>
  </si>
  <si>
    <t>PLANT MAINTENANCE</t>
  </si>
  <si>
    <t>Total Plant Maintenance</t>
  </si>
  <si>
    <t>EXCESS REVENUES OVER EXPENDITURES</t>
  </si>
  <si>
    <t>Total Pupil Personnel Services</t>
  </si>
  <si>
    <t>3% of net FEFP</t>
  </si>
  <si>
    <t>3.25% of gross salary</t>
  </si>
  <si>
    <t xml:space="preserve"> FY06 Methodology</t>
  </si>
  <si>
    <t>Capital Outlay</t>
  </si>
  <si>
    <t>Operating</t>
  </si>
  <si>
    <t>Total</t>
  </si>
  <si>
    <t>CURRICULUM DEVELOPMENT</t>
  </si>
  <si>
    <t>Indirect Cost</t>
  </si>
  <si>
    <t>Contracted  Services - Training</t>
  </si>
  <si>
    <t>$80 / student</t>
  </si>
  <si>
    <t xml:space="preserve">4 classroom </t>
  </si>
  <si>
    <t>Paraprofessionals</t>
  </si>
  <si>
    <t>$225 / day / bus</t>
  </si>
  <si>
    <t>1 @ $8.00 / hr</t>
  </si>
  <si>
    <t>$200 / month</t>
  </si>
  <si>
    <t>$2000 / classroom</t>
  </si>
  <si>
    <t>$500 / classroom</t>
  </si>
  <si>
    <t>$750 / mo</t>
  </si>
  <si>
    <t>FUND BALANCE, BEGINNING</t>
  </si>
  <si>
    <t>FUND BALANCE, ENDING</t>
  </si>
  <si>
    <t>$250 / classroom</t>
  </si>
  <si>
    <t>$75 / student</t>
  </si>
  <si>
    <t>$4000 / classroom</t>
  </si>
  <si>
    <t>$603.75 / student</t>
  </si>
  <si>
    <t>Guidance Counselor</t>
  </si>
  <si>
    <t>Total Pupil Personnel Salaries</t>
  </si>
  <si>
    <t>Total Pupil Personnel Benefits</t>
  </si>
  <si>
    <t>Total Pupil Personnel Other</t>
  </si>
  <si>
    <t>FY11</t>
  </si>
  <si>
    <t>Paraprofessional</t>
  </si>
  <si>
    <t>Art, Band and Athletics Supplies</t>
  </si>
  <si>
    <t>$30 / mo / classroom</t>
  </si>
  <si>
    <t>INSTRUCTIONAL MEDIA SERVICES</t>
  </si>
  <si>
    <t>Media Specialist</t>
  </si>
  <si>
    <t>Library Books</t>
  </si>
  <si>
    <t>Periodicals</t>
  </si>
  <si>
    <t>Total Instructional Media Salaries</t>
  </si>
  <si>
    <t>Total Instructional Media Benefits</t>
  </si>
  <si>
    <t>Total Instructional Media Other</t>
  </si>
  <si>
    <t>Total Instructional Media Services</t>
  </si>
  <si>
    <t xml:space="preserve"> FY07 Methodology</t>
  </si>
  <si>
    <t>Teacher Salary</t>
  </si>
  <si>
    <t>Add Teachers</t>
  </si>
  <si>
    <t>Paras</t>
  </si>
  <si>
    <t>Para Salary</t>
  </si>
  <si>
    <t>Ins / Empl / Mo</t>
  </si>
  <si>
    <t>Principal</t>
  </si>
  <si>
    <t>Asst Principal</t>
  </si>
  <si>
    <t>Dean</t>
  </si>
  <si>
    <t>Secretaries</t>
  </si>
  <si>
    <t>(1 @ 15 months)</t>
  </si>
  <si>
    <t>(2 @ 12 months)</t>
  </si>
  <si>
    <t>$250 / high school student</t>
  </si>
  <si>
    <t>$750 / mo (Shared)</t>
  </si>
  <si>
    <t>$2,000 / class + $2,500</t>
  </si>
  <si>
    <t>$1000 / ESE student</t>
  </si>
  <si>
    <t>$1.10 / student / day</t>
  </si>
  <si>
    <t>Lunch Sales</t>
  </si>
  <si>
    <t>FISCAL YEARS 2008 - 12</t>
  </si>
  <si>
    <t>FY12</t>
  </si>
  <si>
    <t>(1 @ 12 months)</t>
  </si>
  <si>
    <t>SHILOH ELEMENTARY CHARTER SCHOOL</t>
  </si>
  <si>
    <t>Food Service Workers</t>
  </si>
  <si>
    <t>Total Food Service Salaries</t>
  </si>
  <si>
    <t>Total Food Service Benefits</t>
  </si>
  <si>
    <t>Total Food Service Other</t>
  </si>
  <si>
    <t>Total Food Service</t>
  </si>
  <si>
    <t>Custodian</t>
  </si>
  <si>
    <t>Total Plant Operations Salaries</t>
  </si>
  <si>
    <t>Total Plant Operations Benefits</t>
  </si>
  <si>
    <t>Total Plant Operations Other</t>
  </si>
  <si>
    <t>Enrichment Teachers</t>
  </si>
  <si>
    <t>Contracted Services - Oversight</t>
  </si>
  <si>
    <t>Textbook Lease</t>
  </si>
  <si>
    <t>P</t>
  </si>
  <si>
    <t>i</t>
  </si>
  <si>
    <t>N</t>
  </si>
  <si>
    <t>FISCAL YEAR 2008</t>
  </si>
  <si>
    <t>Grant</t>
  </si>
  <si>
    <t>FISCAL YEAR 2009</t>
  </si>
  <si>
    <t>INSTRUCTIONAL MATERIALS BUDGET</t>
  </si>
  <si>
    <t>ASSETS</t>
  </si>
  <si>
    <t>Cash</t>
  </si>
  <si>
    <t>LIABILITIES AND FUND BALANCE</t>
  </si>
  <si>
    <t>Fund Balance</t>
  </si>
  <si>
    <t>PROJECTED BALANCE SHEETS</t>
  </si>
  <si>
    <t>CASH, BEGINNING</t>
  </si>
  <si>
    <t>CASH, ENDING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</si>
  <si>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</si>
  <si>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</si>
  <si>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</si>
  <si>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</si>
  <si>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</si>
  <si>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</si>
  <si>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</si>
  <si>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</si>
  <si>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</si>
  <si>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</si>
  <si>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</si>
  <si>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</si>
  <si>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FISCAL YEAR 2010</t>
  </si>
  <si>
    <t>PROJECTED CASH FLOWS</t>
  </si>
  <si>
    <t>FISCAL YEAR 2011</t>
  </si>
  <si>
    <t>FISCAL YEAR 2012</t>
  </si>
  <si>
    <t>GRANT AND OPERATING BUDGET</t>
  </si>
  <si>
    <t>Required Cash Contribution</t>
  </si>
  <si>
    <t>CASH FLOW PROJECTION</t>
  </si>
  <si>
    <t>FISCAL YEAR 2007</t>
  </si>
  <si>
    <t>Furniture and Equipment</t>
  </si>
  <si>
    <t>Start-up Expenses</t>
  </si>
  <si>
    <t>Contracted Svcs - Dev, Ap Fee</t>
  </si>
  <si>
    <t>FY13</t>
  </si>
  <si>
    <t>Security</t>
  </si>
  <si>
    <t>Treasurer</t>
  </si>
  <si>
    <t>Tech Support</t>
  </si>
  <si>
    <t>Custodial</t>
  </si>
  <si>
    <t>Support</t>
  </si>
  <si>
    <t>Total Fiscal Salaries</t>
  </si>
  <si>
    <t>Total Fiscal Benefits</t>
  </si>
  <si>
    <t>Total Fiscal Other</t>
  </si>
  <si>
    <t>FFE - Instr</t>
  </si>
  <si>
    <t>FFE - Gen</t>
  </si>
  <si>
    <t>*</t>
  </si>
  <si>
    <t>Per RFA</t>
  </si>
  <si>
    <t xml:space="preserve"> Methodology</t>
  </si>
  <si>
    <t>See Staffing Schedule</t>
  </si>
  <si>
    <t>Estimated amount</t>
  </si>
  <si>
    <t>$100 / 8 days / teacher</t>
  </si>
  <si>
    <t>$10 / student</t>
  </si>
  <si>
    <t>10% of FEFP - fiscal services</t>
  </si>
  <si>
    <t>3% of grant</t>
  </si>
  <si>
    <t>$500 / month</t>
  </si>
  <si>
    <t>$750 / month</t>
  </si>
  <si>
    <t>See Staffing Schedule / Add 2 FY10</t>
  </si>
  <si>
    <t>$150 / student</t>
  </si>
  <si>
    <t>$750 / non-instructional employee</t>
  </si>
  <si>
    <t>$385 / eligible student</t>
  </si>
  <si>
    <t>Inflation = 3%</t>
  </si>
  <si>
    <t>See Staffing Schedule / Add 1 FY10</t>
  </si>
  <si>
    <t>Per Worksheet (98% of FY08 4th Calc)</t>
  </si>
  <si>
    <t>FY14</t>
  </si>
  <si>
    <t>$2500 / month</t>
  </si>
  <si>
    <t>Principal / Director</t>
  </si>
  <si>
    <t>Specialty Teachers</t>
  </si>
  <si>
    <t>$250 / month</t>
  </si>
  <si>
    <t>$2750 / employee</t>
  </si>
  <si>
    <t>$3500 / month</t>
  </si>
  <si>
    <t>$350 / month</t>
  </si>
  <si>
    <t>$200 / day / bus / 20% transported</t>
  </si>
  <si>
    <t>$1.75 / student / day / 50% full price / 75% participation</t>
  </si>
  <si>
    <t>See Staffing Schedule / Add 1 per 25 additional students</t>
  </si>
  <si>
    <t>$25 / student</t>
  </si>
  <si>
    <t>$350 / student</t>
  </si>
  <si>
    <t>$3 / student</t>
  </si>
  <si>
    <t>$10000 / Month</t>
  </si>
  <si>
    <t>5% of FEFP - NTE 500 FTE</t>
  </si>
  <si>
    <t>$650 / month</t>
  </si>
  <si>
    <t>$750 / classroom</t>
  </si>
  <si>
    <t>$400 / student</t>
  </si>
  <si>
    <t>Library Books and Online Services</t>
  </si>
  <si>
    <t>Food Service Revenue</t>
  </si>
  <si>
    <t>FY15</t>
  </si>
  <si>
    <t>Other Grant Expenses</t>
  </si>
  <si>
    <t>AV Materials/ computers</t>
  </si>
  <si>
    <t>Custodians</t>
  </si>
  <si>
    <t>Staff training</t>
  </si>
  <si>
    <t>Implementation Grant and fundraising in years 3-5</t>
  </si>
  <si>
    <t>Training</t>
  </si>
  <si>
    <t xml:space="preserve">Admin Support </t>
  </si>
  <si>
    <t>Function</t>
  </si>
  <si>
    <t>Object Code</t>
  </si>
  <si>
    <t>SPECIAL REVENUE EXPENSES</t>
  </si>
  <si>
    <t>Professional Services -SR</t>
  </si>
  <si>
    <t>Travel/Conf/Workshops - SR</t>
  </si>
  <si>
    <t>Textbooks - SR</t>
  </si>
  <si>
    <t>Instructional Supplies</t>
  </si>
  <si>
    <t>Furniture and Equipment - SR</t>
  </si>
  <si>
    <t>Computers - SR</t>
  </si>
  <si>
    <t>Total Special Revenue Expenses</t>
  </si>
  <si>
    <t>Rent June, July and August</t>
  </si>
  <si>
    <t xml:space="preserve">Transportation </t>
  </si>
  <si>
    <t>EXCEPTIONAL EDU EXPENSES</t>
  </si>
  <si>
    <t>ESE Teachers</t>
  </si>
  <si>
    <t>Total Exceptional Instruction Salaries</t>
  </si>
  <si>
    <t>Unemployment Compensation</t>
  </si>
  <si>
    <t>Total Exceptional Instruction Benefits</t>
  </si>
  <si>
    <t>Total Exceptional Instruction</t>
  </si>
  <si>
    <t>Contract Services</t>
  </si>
  <si>
    <t>Total Custodian Salary</t>
  </si>
  <si>
    <t>Total Custodian Benefits</t>
  </si>
  <si>
    <t>Repairs &amp; Maintenance</t>
  </si>
  <si>
    <t xml:space="preserve">IVY HAWN CHARTER SCHOOL </t>
  </si>
  <si>
    <t>Budget</t>
  </si>
  <si>
    <t>Other Services</t>
  </si>
  <si>
    <t>$250 / employee</t>
  </si>
  <si>
    <t>FY13/14</t>
  </si>
  <si>
    <t xml:space="preserve">Classroom Aides </t>
  </si>
  <si>
    <t xml:space="preserve">Classroom Teachers </t>
  </si>
  <si>
    <t>FY14/15</t>
  </si>
  <si>
    <t>FY16/17</t>
  </si>
  <si>
    <t>FUND BALANCE, BEGININNG</t>
  </si>
  <si>
    <t xml:space="preserve">FEFP </t>
  </si>
  <si>
    <t>Other</t>
  </si>
  <si>
    <t>Cafeteria Staff</t>
  </si>
  <si>
    <t>Monthly Amt</t>
  </si>
  <si>
    <t>Printing</t>
  </si>
  <si>
    <t>Social Security</t>
  </si>
  <si>
    <t>Group Insurance</t>
  </si>
  <si>
    <t>Unemployment</t>
  </si>
  <si>
    <t>GUIDANCE SERVICES</t>
  </si>
  <si>
    <t>Guidance Personnel</t>
  </si>
  <si>
    <t>Total Guidance Services</t>
  </si>
  <si>
    <t>Total Guidance Services Salaries</t>
  </si>
  <si>
    <t>Total Guidance Benefits</t>
  </si>
  <si>
    <t>Total Data Processing Services</t>
  </si>
  <si>
    <t>Total Data Processing Other</t>
  </si>
  <si>
    <t xml:space="preserve">Arts Coordinator </t>
  </si>
  <si>
    <t xml:space="preserve">Health Insurance </t>
  </si>
  <si>
    <t>Total Arts Salaries</t>
  </si>
  <si>
    <t>Food/Supplies</t>
  </si>
  <si>
    <t>Arts  Employee</t>
  </si>
  <si>
    <t>Unemployement Compensation</t>
  </si>
  <si>
    <t>Total Benefits</t>
  </si>
  <si>
    <t xml:space="preserve">Title 2 Funds </t>
  </si>
  <si>
    <t>Misc</t>
  </si>
  <si>
    <t>FISCAL YEARS 2017-2018</t>
  </si>
  <si>
    <t>FY 17/18</t>
  </si>
  <si>
    <t>3.5% incr</t>
  </si>
  <si>
    <t>10% incr</t>
  </si>
  <si>
    <t>3,5% incr</t>
  </si>
  <si>
    <t>$500 each</t>
  </si>
  <si>
    <t>per schedule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</si>
  <si>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</si>
  <si>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</si>
  <si>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</si>
  <si>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</si>
  <si>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</si>
  <si>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</si>
  <si>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</si>
  <si>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</si>
  <si>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</si>
  <si>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</si>
  <si>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June</t>
  </si>
  <si>
    <t xml:space="preserve">exact salaries </t>
  </si>
  <si>
    <t>Total Art Coordinator Services</t>
  </si>
  <si>
    <t>CTE/Erate Funds</t>
  </si>
  <si>
    <t>STAFFING PLAN</t>
  </si>
  <si>
    <t>Name</t>
  </si>
  <si>
    <t>Position</t>
  </si>
  <si>
    <t>Expected Salary</t>
  </si>
  <si>
    <t>Positions</t>
  </si>
  <si>
    <t>Salary</t>
  </si>
  <si>
    <t>TBA</t>
  </si>
  <si>
    <t>Teachers</t>
  </si>
  <si>
    <t>TOA/Dean</t>
  </si>
  <si>
    <t>Teacher Bonus Pool</t>
  </si>
  <si>
    <t>Instructional</t>
  </si>
  <si>
    <t>ESE Facilitator</t>
  </si>
  <si>
    <t>Music Teacher</t>
  </si>
  <si>
    <t>PE Teacher</t>
  </si>
  <si>
    <t>IT Teacher/Coordinator</t>
  </si>
  <si>
    <t>Dance</t>
  </si>
  <si>
    <t xml:space="preserve">Spanish </t>
  </si>
  <si>
    <t>Drama</t>
  </si>
  <si>
    <t>Art Teacher</t>
  </si>
  <si>
    <t>Teacher Assistants</t>
  </si>
  <si>
    <t>Specialty</t>
  </si>
  <si>
    <t xml:space="preserve">Principal </t>
  </si>
  <si>
    <t xml:space="preserve">Asst Principal - Middle </t>
  </si>
  <si>
    <t>Asst Principal - Elementary</t>
  </si>
  <si>
    <t>Administrators</t>
  </si>
  <si>
    <t>Office Manager/Bookeeper</t>
  </si>
  <si>
    <t>Exec Secretary</t>
  </si>
  <si>
    <t>Receptionist</t>
  </si>
  <si>
    <t>Arts Coordinator</t>
  </si>
  <si>
    <t>Cafeteria Manager</t>
  </si>
  <si>
    <t>Cafeteria Workers part time</t>
  </si>
  <si>
    <t>Admin Support</t>
  </si>
  <si>
    <t>ex sal _ 10k per bon</t>
  </si>
  <si>
    <t>ex Sal + 30k per bon</t>
  </si>
  <si>
    <t>DEBT SERVICE</t>
  </si>
  <si>
    <t>Interest</t>
  </si>
  <si>
    <t>Total Debt Service</t>
  </si>
  <si>
    <t>FISCAL YEAR 2017-2018</t>
  </si>
  <si>
    <t>auditorium</t>
  </si>
  <si>
    <t>Auditorium</t>
  </si>
  <si>
    <t>Total Auditorium</t>
  </si>
  <si>
    <t>Specialty Teachers (non ESE)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</si>
</sst>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0.000%"/>
  </numFmts>
  <fonts count="17" x14ac:knownFonts="1">
    <font>
      <sz val="10"/>
      <name val="Arial"/>
    </font>
    <font>
      <sz val="10"/>
      <name val="Arial"/>
      <family val="2"/>
    </font>
    <font>
      <u val="singleAccounting"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b/>
      <u val="doubleAccounting"/>
      <sz val="10"/>
      <name val="Arial"/>
      <family val="2"/>
    </font>
    <font>
      <u val="singleAccounting"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theme="11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Accounting"/>
      <sz val="12"/>
      <name val="Arial"/>
      <family val="2"/>
    </font>
    <font>
      <b/>
      <u val="singleAccounting"/>
      <sz val="12"/>
      <name val="Arial"/>
      <family val="2"/>
    </font>
    <font>
      <b/>
      <u val="doubleAccounting"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95">
    <xf numFmtId="0" fontId="0" fillId="0" borderId="0" xfId="0"/>
    <xf numFmtId="164" fontId="0" fillId="0" borderId="0" xfId="1" applyNumberFormat="1" applyFont="1"/>
    <xf numFmtId="164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164" fontId="2" fillId="0" borderId="0" xfId="1" applyNumberFormat="1" applyFont="1"/>
    <xf numFmtId="0" fontId="3" fillId="0" borderId="0" xfId="0" applyFont="1"/>
    <xf numFmtId="164" fontId="4" fillId="0" borderId="0" xfId="1" applyNumberFormat="1" applyFont="1"/>
    <xf numFmtId="164" fontId="5" fillId="0" borderId="0" xfId="1" applyNumberFormat="1" applyFont="1"/>
    <xf numFmtId="164" fontId="3" fillId="0" borderId="0" xfId="1" applyNumberFormat="1" applyFont="1"/>
    <xf numFmtId="0" fontId="3" fillId="0" borderId="0" xfId="0" applyFont="1" applyAlignment="1">
      <alignment horizontal="center"/>
    </xf>
    <xf numFmtId="164" fontId="6" fillId="0" borderId="0" xfId="1" applyNumberFormat="1" applyFont="1"/>
    <xf numFmtId="0" fontId="0" fillId="0" borderId="0" xfId="0" quotePrefix="1" applyAlignment="1">
      <alignment horizontal="center"/>
    </xf>
    <xf numFmtId="0" fontId="7" fillId="0" borderId="0" xfId="0" applyFont="1" applyAlignment="1">
      <alignment horizontal="center"/>
    </xf>
    <xf numFmtId="165" fontId="0" fillId="0" borderId="0" xfId="0" quotePrefix="1" applyNumberFormat="1" applyAlignment="1">
      <alignment horizontal="center"/>
    </xf>
    <xf numFmtId="164" fontId="1" fillId="0" borderId="0" xfId="1" applyNumberFormat="1"/>
    <xf numFmtId="164" fontId="1" fillId="0" borderId="0" xfId="1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164" fontId="0" fillId="0" borderId="0" xfId="0" applyNumberFormat="1"/>
    <xf numFmtId="166" fontId="0" fillId="0" borderId="0" xfId="2" applyNumberFormat="1" applyFont="1"/>
    <xf numFmtId="0" fontId="3" fillId="0" borderId="0" xfId="0" applyFont="1" applyAlignment="1"/>
    <xf numFmtId="165" fontId="0" fillId="0" borderId="0" xfId="4" applyNumberFormat="1" applyFont="1"/>
    <xf numFmtId="164" fontId="1" fillId="0" borderId="0" xfId="1" applyNumberFormat="1" applyFont="1"/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10" fontId="0" fillId="0" borderId="0" xfId="0" applyNumberFormat="1"/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" fontId="9" fillId="0" borderId="0" xfId="1" applyNumberFormat="1" applyFont="1" applyAlignment="1">
      <alignment horizontal="center"/>
    </xf>
    <xf numFmtId="0" fontId="9" fillId="0" borderId="0" xfId="0" applyFont="1"/>
    <xf numFmtId="164" fontId="9" fillId="0" borderId="0" xfId="1" applyNumberFormat="1" applyFont="1"/>
    <xf numFmtId="0" fontId="3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164" fontId="2" fillId="0" borderId="0" xfId="0" applyNumberFormat="1" applyFont="1"/>
    <xf numFmtId="0" fontId="3" fillId="0" borderId="0" xfId="0" applyFont="1" applyAlignment="1">
      <alignment horizontal="center"/>
    </xf>
    <xf numFmtId="0" fontId="1" fillId="0" borderId="0" xfId="0" applyFont="1"/>
    <xf numFmtId="164" fontId="2" fillId="0" borderId="0" xfId="1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4" fillId="0" borderId="0" xfId="1" applyNumberFormat="1" applyFont="1" applyBorder="1"/>
    <xf numFmtId="1" fontId="0" fillId="0" borderId="0" xfId="0" applyNumberFormat="1"/>
    <xf numFmtId="0" fontId="3" fillId="0" borderId="0" xfId="0" applyFont="1" applyAlignment="1">
      <alignment horizontal="center"/>
    </xf>
    <xf numFmtId="43" fontId="0" fillId="0" borderId="0" xfId="0" applyNumberFormat="1"/>
    <xf numFmtId="43" fontId="3" fillId="0" borderId="0" xfId="0" applyNumberFormat="1" applyFont="1" applyAlignment="1">
      <alignment horizontal="right"/>
    </xf>
    <xf numFmtId="164" fontId="3" fillId="0" borderId="1" xfId="1" applyNumberFormat="1" applyFont="1" applyBorder="1"/>
    <xf numFmtId="164" fontId="3" fillId="0" borderId="2" xfId="1" applyNumberFormat="1" applyFont="1" applyBorder="1"/>
    <xf numFmtId="164" fontId="1" fillId="0" borderId="1" xfId="1" applyNumberFormat="1" applyFont="1" applyBorder="1"/>
    <xf numFmtId="164" fontId="3" fillId="0" borderId="0" xfId="1" applyNumberFormat="1" applyFont="1" applyBorder="1"/>
    <xf numFmtId="0" fontId="0" fillId="2" borderId="0" xfId="0" applyFill="1"/>
    <xf numFmtId="0" fontId="0" fillId="3" borderId="0" xfId="0" applyFill="1"/>
    <xf numFmtId="164" fontId="1" fillId="3" borderId="0" xfId="1" applyNumberFormat="1" applyFill="1"/>
    <xf numFmtId="164" fontId="9" fillId="3" borderId="0" xfId="1" applyNumberFormat="1" applyFont="1" applyFill="1"/>
    <xf numFmtId="164" fontId="2" fillId="3" borderId="0" xfId="1" applyNumberFormat="1" applyFont="1" applyFill="1"/>
    <xf numFmtId="164" fontId="1" fillId="3" borderId="0" xfId="1" applyNumberFormat="1" applyFont="1" applyFill="1"/>
    <xf numFmtId="0" fontId="0" fillId="4" borderId="0" xfId="0" applyFill="1"/>
    <xf numFmtId="164" fontId="0" fillId="4" borderId="0" xfId="0" applyNumberFormat="1" applyFill="1"/>
    <xf numFmtId="10" fontId="3" fillId="0" borderId="0" xfId="4" applyNumberFormat="1" applyFont="1"/>
    <xf numFmtId="10" fontId="1" fillId="0" borderId="0" xfId="4" applyNumberFormat="1" applyFont="1"/>
    <xf numFmtId="10" fontId="11" fillId="0" borderId="0" xfId="4" applyNumberFormat="1" applyFont="1"/>
    <xf numFmtId="10" fontId="7" fillId="0" borderId="0" xfId="4" applyNumberFormat="1" applyFont="1"/>
    <xf numFmtId="10" fontId="3" fillId="0" borderId="1" xfId="4" applyNumberFormat="1" applyFont="1" applyBorder="1"/>
    <xf numFmtId="10" fontId="1" fillId="0" borderId="0" xfId="4" applyNumberFormat="1" applyFont="1" applyBorder="1"/>
    <xf numFmtId="10" fontId="11" fillId="3" borderId="0" xfId="4" applyNumberFormat="1" applyFont="1" applyFill="1"/>
    <xf numFmtId="10" fontId="1" fillId="0" borderId="0" xfId="4" applyNumberFormat="1" applyFont="1" applyAlignment="1">
      <alignment horizontal="center"/>
    </xf>
    <xf numFmtId="10" fontId="7" fillId="4" borderId="0" xfId="4" applyNumberFormat="1" applyFont="1" applyFill="1"/>
    <xf numFmtId="164" fontId="1" fillId="0" borderId="0" xfId="1" applyNumberFormat="1" applyFont="1" applyBorder="1"/>
    <xf numFmtId="0" fontId="3" fillId="0" borderId="0" xfId="0" applyFont="1" applyAlignment="1">
      <alignment horizontal="center"/>
    </xf>
    <xf numFmtId="0" fontId="7" fillId="0" borderId="0" xfId="0" applyFont="1" applyAlignment="1"/>
    <xf numFmtId="164" fontId="7" fillId="0" borderId="0" xfId="1" applyNumberFormat="1" applyFont="1" applyBorder="1"/>
    <xf numFmtId="10" fontId="2" fillId="0" borderId="0" xfId="4" applyNumberFormat="1" applyFont="1"/>
    <xf numFmtId="10" fontId="4" fillId="0" borderId="0" xfId="4" applyNumberFormat="1" applyFont="1"/>
    <xf numFmtId="10" fontId="1" fillId="0" borderId="0" xfId="4" applyNumberFormat="1" applyFont="1" applyFill="1"/>
    <xf numFmtId="10" fontId="4" fillId="0" borderId="0" xfId="4" applyNumberFormat="1" applyFont="1" applyBorder="1"/>
    <xf numFmtId="10" fontId="7" fillId="0" borderId="0" xfId="4" applyNumberFormat="1" applyFont="1" applyFill="1"/>
    <xf numFmtId="164" fontId="11" fillId="0" borderId="0" xfId="1" applyNumberFormat="1" applyFont="1"/>
    <xf numFmtId="164" fontId="1" fillId="0" borderId="0" xfId="1" applyNumberFormat="1" applyFont="1" applyFill="1"/>
    <xf numFmtId="164" fontId="2" fillId="0" borderId="0" xfId="1" applyNumberFormat="1" applyFont="1" applyFill="1"/>
    <xf numFmtId="43" fontId="0" fillId="0" borderId="0" xfId="1" applyFont="1"/>
    <xf numFmtId="43" fontId="3" fillId="5" borderId="1" xfId="1" applyFont="1" applyFill="1" applyBorder="1" applyAlignment="1">
      <alignment horizontal="center"/>
    </xf>
    <xf numFmtId="0" fontId="12" fillId="0" borderId="0" xfId="0" applyFont="1" applyAlignment="1"/>
    <xf numFmtId="164" fontId="13" fillId="0" borderId="0" xfId="1" applyNumberFormat="1" applyFont="1"/>
    <xf numFmtId="164" fontId="13" fillId="0" borderId="0" xfId="1" applyNumberFormat="1" applyFont="1" applyAlignment="1">
      <alignment horizontal="center" wrapText="1"/>
    </xf>
    <xf numFmtId="0" fontId="13" fillId="0" borderId="0" xfId="0" applyFont="1"/>
    <xf numFmtId="164" fontId="14" fillId="0" borderId="0" xfId="1" applyNumberFormat="1" applyFont="1"/>
    <xf numFmtId="0" fontId="12" fillId="0" borderId="0" xfId="0" applyFont="1"/>
    <xf numFmtId="164" fontId="12" fillId="0" borderId="0" xfId="1" applyNumberFormat="1" applyFont="1"/>
    <xf numFmtId="164" fontId="15" fillId="0" borderId="0" xfId="1" applyNumberFormat="1" applyFont="1"/>
    <xf numFmtId="164" fontId="16" fillId="0" borderId="0" xfId="1" applyNumberFormat="1" applyFont="1"/>
    <xf numFmtId="0" fontId="3" fillId="0" borderId="0" xfId="0" applyFont="1" applyAlignment="1">
      <alignment horizontal="center"/>
    </xf>
    <xf numFmtId="164" fontId="3" fillId="0" borderId="0" xfId="1" applyNumberFormat="1" applyFont="1" applyAlignment="1">
      <alignment horizontal="center"/>
    </xf>
    <xf numFmtId="164" fontId="7" fillId="0" borderId="0" xfId="1" applyNumberFormat="1" applyFont="1" applyBorder="1" applyAlignment="1">
      <alignment horizontal="center"/>
    </xf>
    <xf numFmtId="167" fontId="0" fillId="0" borderId="0" xfId="0" applyNumberFormat="1"/>
    <xf numFmtId="0" fontId="1" fillId="0" borderId="0" xfId="0" applyFont="1" applyAlignment="1">
      <alignment horizontal="left"/>
    </xf>
    <xf numFmtId="0" fontId="3" fillId="3" borderId="0" xfId="0" applyFont="1" applyFill="1"/>
    <xf numFmtId="0" fontId="3" fillId="0" borderId="0" xfId="0" applyFont="1" applyAlignment="1">
      <alignment horizontal="center"/>
    </xf>
  </cellXfs>
  <cellStyles count="6">
    <cellStyle name="Comma" xfId="1" builtinId="3"/>
    <cellStyle name="Currency" xfId="2" builtinId="4"/>
    <cellStyle name="Followed Hyperlink" xfId="5" builtinId="9" hidden="1"/>
    <cellStyle name="Normal" xfId="0" builtinId="0"/>
    <cellStyle name="Normal 2" xfId="3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B30" sqref="B30"/>
    </sheetView>
  </sheetViews>
  <sheetFormatPr defaultColWidth="8.7109375" defaultRowHeight="12.75" x14ac:dyDescent="0.2"/>
  <cols>
    <col min="1" max="1" width="2.7109375" customWidth="1"/>
    <col min="2" max="2" width="30.28515625" customWidth="1"/>
  </cols>
  <sheetData>
    <row r="1" spans="1:10" x14ac:dyDescent="0.2">
      <c r="A1" s="94" t="s">
        <v>146</v>
      </c>
      <c r="B1" s="94"/>
      <c r="C1" s="94"/>
      <c r="D1" s="94"/>
      <c r="E1" s="94"/>
      <c r="F1" s="94"/>
      <c r="G1" s="94"/>
      <c r="H1" s="19"/>
      <c r="I1" s="19"/>
      <c r="J1" s="19"/>
    </row>
    <row r="2" spans="1:10" x14ac:dyDescent="0.2">
      <c r="A2" s="94" t="s">
        <v>170</v>
      </c>
      <c r="B2" s="94"/>
      <c r="C2" s="94"/>
      <c r="D2" s="94"/>
      <c r="E2" s="94"/>
      <c r="F2" s="94"/>
      <c r="G2" s="94"/>
      <c r="H2" s="19"/>
      <c r="I2" s="19"/>
      <c r="J2" s="19"/>
    </row>
    <row r="3" spans="1:10" x14ac:dyDescent="0.2">
      <c r="A3" s="94" t="s">
        <v>143</v>
      </c>
      <c r="B3" s="94"/>
      <c r="C3" s="94"/>
      <c r="D3" s="94"/>
      <c r="E3" s="94"/>
      <c r="F3" s="94"/>
      <c r="G3" s="94"/>
      <c r="H3" s="19"/>
      <c r="I3" s="19"/>
      <c r="J3" s="19"/>
    </row>
    <row r="4" spans="1:10" x14ac:dyDescent="0.2">
      <c r="A4" s="9"/>
      <c r="B4" s="9"/>
      <c r="C4" s="9"/>
      <c r="D4" s="9"/>
      <c r="E4" s="9"/>
      <c r="F4" s="9"/>
      <c r="G4" s="9"/>
      <c r="H4" s="19"/>
      <c r="I4" s="19"/>
      <c r="J4" s="19"/>
    </row>
    <row r="5" spans="1:10" x14ac:dyDescent="0.2">
      <c r="A5" s="9"/>
      <c r="B5" s="9"/>
      <c r="C5" s="9"/>
      <c r="D5" s="9"/>
      <c r="E5" s="9"/>
      <c r="F5" s="9"/>
    </row>
    <row r="6" spans="1:10" x14ac:dyDescent="0.2">
      <c r="A6" s="9"/>
      <c r="B6" s="9"/>
      <c r="C6" s="12" t="s">
        <v>58</v>
      </c>
      <c r="D6" s="12" t="s">
        <v>59</v>
      </c>
      <c r="E6" s="12" t="s">
        <v>62</v>
      </c>
      <c r="F6" s="12" t="s">
        <v>113</v>
      </c>
      <c r="G6" s="12" t="s">
        <v>144</v>
      </c>
    </row>
    <row r="8" spans="1:10" x14ac:dyDescent="0.2">
      <c r="A8" s="5" t="s">
        <v>166</v>
      </c>
    </row>
    <row r="9" spans="1:10" ht="15" x14ac:dyDescent="0.35">
      <c r="A9" s="5"/>
      <c r="B9" t="s">
        <v>167</v>
      </c>
      <c r="C9" s="7">
        <f>+Annual!H249</f>
        <v>12000</v>
      </c>
      <c r="D9" s="7" t="e">
        <f>+Annual!I249</f>
        <v>#REF!</v>
      </c>
      <c r="E9" s="7" t="e">
        <f>+Annual!J249</f>
        <v>#REF!</v>
      </c>
      <c r="F9" s="7" t="e">
        <f>+Annual!K249</f>
        <v>#REF!</v>
      </c>
      <c r="G9" s="7" t="e">
        <f>+Annual!L249</f>
        <v>#REF!</v>
      </c>
    </row>
    <row r="10" spans="1:10" x14ac:dyDescent="0.2">
      <c r="A10" s="5"/>
    </row>
    <row r="11" spans="1:10" x14ac:dyDescent="0.2">
      <c r="A11" s="5"/>
    </row>
    <row r="12" spans="1:10" x14ac:dyDescent="0.2">
      <c r="A12" s="5" t="s">
        <v>168</v>
      </c>
    </row>
    <row r="13" spans="1:10" ht="15" x14ac:dyDescent="0.35">
      <c r="B13" t="s">
        <v>169</v>
      </c>
      <c r="C13" s="7">
        <f>+C9</f>
        <v>12000</v>
      </c>
      <c r="D13" s="7" t="e">
        <f>+D9</f>
        <v>#REF!</v>
      </c>
      <c r="E13" s="7" t="e">
        <f>+E9</f>
        <v>#REF!</v>
      </c>
      <c r="F13" s="7" t="e">
        <f>+F9</f>
        <v>#REF!</v>
      </c>
      <c r="G13" s="7" t="e">
        <f>+G9</f>
        <v>#REF!</v>
      </c>
    </row>
  </sheetData>
  <mergeCells count="3">
    <mergeCell ref="A1:G1"/>
    <mergeCell ref="A2:G2"/>
    <mergeCell ref="A3:G3"/>
  </mergeCells>
  <phoneticPr fontId="8" type="noConversion"/>
  <printOptions horizontalCentered="1"/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9"/>
  <sheetViews>
    <sheetView topLeftCell="I138" workbookViewId="0"/>
  </sheetViews>
  <sheetFormatPr defaultColWidth="8.7109375" defaultRowHeight="12.75" x14ac:dyDescent="0.2"/>
  <cols>
    <col min="1" max="3" width="2.7109375" customWidth="1"/>
    <col min="4" max="4" width="34.28515625" customWidth="1"/>
    <col min="5" max="5" width="32.7109375" style="3" hidden="1" customWidth="1"/>
    <col min="6" max="6" width="14" style="14" hidden="1" customWidth="1"/>
    <col min="7" max="8" width="11.7109375" style="14" bestFit="1" customWidth="1"/>
    <col min="9" max="18" width="12" style="14" bestFit="1" customWidth="1"/>
    <col min="19" max="19" width="14.7109375" style="14" bestFit="1" customWidth="1"/>
  </cols>
  <sheetData>
    <row r="1" spans="1:19" x14ac:dyDescent="0.2">
      <c r="A1" s="19" t="s">
        <v>146</v>
      </c>
      <c r="B1" s="19"/>
      <c r="C1" s="19"/>
      <c r="D1" s="19"/>
      <c r="E1" s="19"/>
      <c r="F1" s="19"/>
      <c r="G1"/>
      <c r="H1"/>
      <c r="I1"/>
      <c r="J1"/>
      <c r="K1"/>
      <c r="L1"/>
      <c r="M1"/>
      <c r="N1"/>
      <c r="O1"/>
      <c r="P1"/>
      <c r="Q1"/>
      <c r="R1"/>
      <c r="S1"/>
    </row>
    <row r="2" spans="1:19" x14ac:dyDescent="0.2">
      <c r="A2" s="19" t="s">
        <v>186</v>
      </c>
      <c r="B2" s="19"/>
      <c r="C2" s="19"/>
      <c r="D2" s="19"/>
      <c r="E2" s="19"/>
      <c r="F2" s="19"/>
      <c r="G2"/>
      <c r="H2"/>
      <c r="I2"/>
      <c r="J2"/>
      <c r="K2"/>
      <c r="L2"/>
      <c r="M2"/>
      <c r="N2"/>
      <c r="O2"/>
      <c r="P2"/>
      <c r="Q2"/>
      <c r="R2"/>
      <c r="S2"/>
    </row>
    <row r="3" spans="1:19" x14ac:dyDescent="0.2">
      <c r="A3" s="19" t="s">
        <v>185</v>
      </c>
      <c r="B3" s="19"/>
      <c r="C3" s="19"/>
      <c r="D3" s="19"/>
      <c r="E3" s="19"/>
      <c r="F3" s="19"/>
      <c r="G3"/>
      <c r="H3"/>
      <c r="I3"/>
      <c r="J3"/>
      <c r="K3"/>
      <c r="L3"/>
      <c r="M3"/>
      <c r="N3"/>
      <c r="O3"/>
      <c r="P3"/>
      <c r="Q3"/>
      <c r="R3"/>
      <c r="S3"/>
    </row>
    <row r="4" spans="1:19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x14ac:dyDescent="0.2">
      <c r="A5" s="9"/>
      <c r="B5" s="9"/>
      <c r="C5" s="9"/>
      <c r="D5" s="9"/>
      <c r="E5" s="12" t="s">
        <v>125</v>
      </c>
      <c r="F5" s="12" t="s">
        <v>59</v>
      </c>
      <c r="G5" s="12" t="s">
        <v>173</v>
      </c>
      <c r="H5" s="12" t="s">
        <v>174</v>
      </c>
      <c r="I5" s="12" t="s">
        <v>175</v>
      </c>
      <c r="J5" s="12" t="s">
        <v>176</v>
      </c>
      <c r="K5" s="12" t="s">
        <v>177</v>
      </c>
      <c r="L5" s="12" t="s">
        <v>178</v>
      </c>
      <c r="M5" s="12" t="s">
        <v>179</v>
      </c>
      <c r="N5" s="12" t="s">
        <v>180</v>
      </c>
      <c r="O5" s="12" t="s">
        <v>181</v>
      </c>
      <c r="P5" s="12" t="s">
        <v>182</v>
      </c>
      <c r="Q5" s="12" t="s">
        <v>183</v>
      </c>
      <c r="R5" s="12" t="s">
        <v>184</v>
      </c>
      <c r="S5" s="12" t="s">
        <v>90</v>
      </c>
    </row>
    <row r="6" spans="1:19" hidden="1" x14ac:dyDescent="0.2">
      <c r="A6" s="9"/>
      <c r="B6" s="9"/>
      <c r="C6" s="9"/>
      <c r="D6" s="9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idden="1" x14ac:dyDescent="0.2">
      <c r="A7" s="5" t="s">
        <v>60</v>
      </c>
      <c r="F7" s="14" t="e">
        <f>+#REF!</f>
        <v>#REF!</v>
      </c>
    </row>
    <row r="8" spans="1:19" hidden="1" x14ac:dyDescent="0.2">
      <c r="A8" s="5"/>
    </row>
    <row r="9" spans="1:19" x14ac:dyDescent="0.2">
      <c r="A9" s="5"/>
    </row>
    <row r="10" spans="1:19" ht="15" x14ac:dyDescent="0.35">
      <c r="A10" s="5" t="s">
        <v>171</v>
      </c>
      <c r="F10" s="6" t="e">
        <f>+'Yr2 Cash Flow'!S159</f>
        <v>#REF!</v>
      </c>
      <c r="G10" s="6" t="e">
        <f>+F10</f>
        <v>#REF!</v>
      </c>
      <c r="H10" s="6" t="e">
        <f t="shared" ref="H10:R10" si="0">+G159</f>
        <v>#REF!</v>
      </c>
      <c r="I10" s="6" t="e">
        <f t="shared" si="0"/>
        <v>#REF!</v>
      </c>
      <c r="J10" s="6" t="e">
        <f t="shared" si="0"/>
        <v>#REF!</v>
      </c>
      <c r="K10" s="6" t="e">
        <f t="shared" si="0"/>
        <v>#REF!</v>
      </c>
      <c r="L10" s="6" t="e">
        <f t="shared" si="0"/>
        <v>#REF!</v>
      </c>
      <c r="M10" s="6" t="e">
        <f t="shared" si="0"/>
        <v>#REF!</v>
      </c>
      <c r="N10" s="6" t="e">
        <f t="shared" si="0"/>
        <v>#REF!</v>
      </c>
      <c r="O10" s="6" t="e">
        <f t="shared" si="0"/>
        <v>#REF!</v>
      </c>
      <c r="P10" s="6" t="e">
        <f t="shared" si="0"/>
        <v>#REF!</v>
      </c>
      <c r="Q10" s="6" t="e">
        <f t="shared" si="0"/>
        <v>#REF!</v>
      </c>
      <c r="R10" s="6" t="e">
        <f t="shared" si="0"/>
        <v>#REF!</v>
      </c>
      <c r="S10" s="6" t="e">
        <f>+G10</f>
        <v>#REF!</v>
      </c>
    </row>
    <row r="11" spans="1:19" x14ac:dyDescent="0.2"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x14ac:dyDescent="0.2">
      <c r="A12" s="5" t="s">
        <v>1</v>
      </c>
    </row>
    <row r="13" spans="1:19" x14ac:dyDescent="0.2">
      <c r="B13" t="s">
        <v>2</v>
      </c>
      <c r="E13" s="3" t="s">
        <v>51</v>
      </c>
      <c r="F13" s="14">
        <v>1801903.6244680854</v>
      </c>
      <c r="G13" s="14">
        <f>+F13/12</f>
        <v>150158.63537234045</v>
      </c>
      <c r="H13" s="14">
        <f t="shared" ref="H13:R13" si="1">+G13</f>
        <v>150158.63537234045</v>
      </c>
      <c r="I13" s="14">
        <f t="shared" si="1"/>
        <v>150158.63537234045</v>
      </c>
      <c r="J13" s="14">
        <f t="shared" si="1"/>
        <v>150158.63537234045</v>
      </c>
      <c r="K13" s="14">
        <f t="shared" si="1"/>
        <v>150158.63537234045</v>
      </c>
      <c r="L13" s="14">
        <f t="shared" si="1"/>
        <v>150158.63537234045</v>
      </c>
      <c r="M13" s="14">
        <f t="shared" si="1"/>
        <v>150158.63537234045</v>
      </c>
      <c r="N13" s="14">
        <f t="shared" si="1"/>
        <v>150158.63537234045</v>
      </c>
      <c r="O13" s="14">
        <f t="shared" si="1"/>
        <v>150158.63537234045</v>
      </c>
      <c r="P13" s="14">
        <f t="shared" si="1"/>
        <v>150158.63537234045</v>
      </c>
      <c r="Q13" s="14">
        <f t="shared" si="1"/>
        <v>150158.63537234045</v>
      </c>
      <c r="R13" s="14">
        <f t="shared" si="1"/>
        <v>150158.63537234045</v>
      </c>
      <c r="S13" s="14">
        <f>SUM(G13:R13)</f>
        <v>1801903.6244680854</v>
      </c>
    </row>
    <row r="14" spans="1:19" hidden="1" x14ac:dyDescent="0.2">
      <c r="B14" t="s">
        <v>65</v>
      </c>
      <c r="F14" s="14">
        <v>0</v>
      </c>
      <c r="G14" s="14">
        <f>+F14/4</f>
        <v>0</v>
      </c>
      <c r="H14" s="14">
        <f>(F14-G14)/11</f>
        <v>0</v>
      </c>
      <c r="I14" s="14">
        <f t="shared" ref="I14:R14" si="2">+H14</f>
        <v>0</v>
      </c>
      <c r="J14" s="14">
        <f t="shared" si="2"/>
        <v>0</v>
      </c>
      <c r="K14" s="14">
        <f t="shared" si="2"/>
        <v>0</v>
      </c>
      <c r="L14" s="14">
        <f t="shared" si="2"/>
        <v>0</v>
      </c>
      <c r="M14" s="14">
        <f t="shared" si="2"/>
        <v>0</v>
      </c>
      <c r="N14" s="14">
        <f t="shared" si="2"/>
        <v>0</v>
      </c>
      <c r="O14" s="14">
        <f t="shared" si="2"/>
        <v>0</v>
      </c>
      <c r="P14" s="14">
        <f t="shared" si="2"/>
        <v>0</v>
      </c>
      <c r="Q14" s="14">
        <f t="shared" si="2"/>
        <v>0</v>
      </c>
      <c r="R14" s="14">
        <f t="shared" si="2"/>
        <v>0</v>
      </c>
      <c r="S14" s="14">
        <f>SUM(G14:R14)</f>
        <v>0</v>
      </c>
    </row>
    <row r="15" spans="1:19" hidden="1" x14ac:dyDescent="0.2">
      <c r="B15" t="s">
        <v>88</v>
      </c>
      <c r="F15" s="14">
        <v>0</v>
      </c>
      <c r="S15" s="14">
        <f>SUM(G15:R15)</f>
        <v>0</v>
      </c>
    </row>
    <row r="16" spans="1:19" x14ac:dyDescent="0.2">
      <c r="B16" t="s">
        <v>142</v>
      </c>
      <c r="F16" s="14">
        <v>14045.4</v>
      </c>
      <c r="G16" s="14">
        <v>0</v>
      </c>
      <c r="H16" s="14">
        <v>0</v>
      </c>
      <c r="I16" s="14">
        <f>+F16/10</f>
        <v>1404.54</v>
      </c>
      <c r="J16" s="14">
        <f t="shared" ref="J16:R16" si="3">+I16</f>
        <v>1404.54</v>
      </c>
      <c r="K16" s="14">
        <f t="shared" si="3"/>
        <v>1404.54</v>
      </c>
      <c r="L16" s="14">
        <f t="shared" si="3"/>
        <v>1404.54</v>
      </c>
      <c r="M16" s="14">
        <f t="shared" si="3"/>
        <v>1404.54</v>
      </c>
      <c r="N16" s="14">
        <f t="shared" si="3"/>
        <v>1404.54</v>
      </c>
      <c r="O16" s="14">
        <f t="shared" si="3"/>
        <v>1404.54</v>
      </c>
      <c r="P16" s="14">
        <f t="shared" si="3"/>
        <v>1404.54</v>
      </c>
      <c r="Q16" s="14">
        <f t="shared" si="3"/>
        <v>1404.54</v>
      </c>
      <c r="R16" s="14">
        <f t="shared" si="3"/>
        <v>1404.54</v>
      </c>
      <c r="S16" s="14">
        <f>SUM(G16:R16)</f>
        <v>14045.400000000001</v>
      </c>
    </row>
    <row r="17" spans="1:19" ht="15" x14ac:dyDescent="0.35">
      <c r="B17" t="s">
        <v>3</v>
      </c>
      <c r="E17" s="3" t="s">
        <v>63</v>
      </c>
      <c r="F17" s="4">
        <v>54621</v>
      </c>
      <c r="G17" s="4">
        <v>0</v>
      </c>
      <c r="H17" s="4">
        <v>0</v>
      </c>
      <c r="I17" s="4">
        <f>+F17/10</f>
        <v>5462.1</v>
      </c>
      <c r="J17" s="4">
        <f t="shared" ref="J17:R17" si="4">+I17</f>
        <v>5462.1</v>
      </c>
      <c r="K17" s="4">
        <f t="shared" si="4"/>
        <v>5462.1</v>
      </c>
      <c r="L17" s="4">
        <f t="shared" si="4"/>
        <v>5462.1</v>
      </c>
      <c r="M17" s="4">
        <f t="shared" si="4"/>
        <v>5462.1</v>
      </c>
      <c r="N17" s="4">
        <f t="shared" si="4"/>
        <v>5462.1</v>
      </c>
      <c r="O17" s="4">
        <f t="shared" si="4"/>
        <v>5462.1</v>
      </c>
      <c r="P17" s="4">
        <f t="shared" si="4"/>
        <v>5462.1</v>
      </c>
      <c r="Q17" s="4">
        <f t="shared" si="4"/>
        <v>5462.1</v>
      </c>
      <c r="R17" s="4">
        <f t="shared" si="4"/>
        <v>5462.1</v>
      </c>
      <c r="S17" s="4">
        <f>SUM(G17:R17)</f>
        <v>54620.999999999993</v>
      </c>
    </row>
    <row r="18" spans="1:19" s="5" customFormat="1" ht="15" x14ac:dyDescent="0.35">
      <c r="A18" s="5" t="s">
        <v>49</v>
      </c>
      <c r="E18" s="9"/>
      <c r="F18" s="6">
        <v>1870570.0244680853</v>
      </c>
      <c r="G18" s="6">
        <f t="shared" ref="G18:S18" si="5">SUM(G13:G17)</f>
        <v>150158.63537234045</v>
      </c>
      <c r="H18" s="6">
        <f t="shared" si="5"/>
        <v>150158.63537234045</v>
      </c>
      <c r="I18" s="6">
        <f t="shared" si="5"/>
        <v>157025.27537234046</v>
      </c>
      <c r="J18" s="6">
        <f t="shared" si="5"/>
        <v>157025.27537234046</v>
      </c>
      <c r="K18" s="6">
        <f t="shared" si="5"/>
        <v>157025.27537234046</v>
      </c>
      <c r="L18" s="6">
        <f t="shared" si="5"/>
        <v>157025.27537234046</v>
      </c>
      <c r="M18" s="6">
        <f t="shared" si="5"/>
        <v>157025.27537234046</v>
      </c>
      <c r="N18" s="6">
        <f t="shared" si="5"/>
        <v>157025.27537234046</v>
      </c>
      <c r="O18" s="6">
        <f t="shared" si="5"/>
        <v>157025.27537234046</v>
      </c>
      <c r="P18" s="6">
        <f t="shared" si="5"/>
        <v>157025.27537234046</v>
      </c>
      <c r="Q18" s="6">
        <f t="shared" si="5"/>
        <v>157025.27537234046</v>
      </c>
      <c r="R18" s="6">
        <f t="shared" si="5"/>
        <v>157025.27537234046</v>
      </c>
      <c r="S18" s="6">
        <f t="shared" si="5"/>
        <v>1870570.0244680853</v>
      </c>
    </row>
    <row r="20" spans="1:19" x14ac:dyDescent="0.2">
      <c r="A20" s="5" t="s">
        <v>4</v>
      </c>
    </row>
    <row r="21" spans="1:19" x14ac:dyDescent="0.2">
      <c r="B21" s="5" t="s">
        <v>5</v>
      </c>
    </row>
    <row r="22" spans="1:19" x14ac:dyDescent="0.2">
      <c r="B22" s="5"/>
      <c r="C22" t="s">
        <v>6</v>
      </c>
      <c r="E22" s="3" t="e">
        <f>CONCATENATE(#REF!+Misc!B5," @ ",Tchr)</f>
        <v>#REF!</v>
      </c>
      <c r="F22" s="14">
        <v>674179.2</v>
      </c>
      <c r="G22" s="14">
        <f>+F22/12</f>
        <v>56181.599999999999</v>
      </c>
      <c r="H22" s="14">
        <f t="shared" ref="H22:R22" si="6">+G22</f>
        <v>56181.599999999999</v>
      </c>
      <c r="I22" s="14">
        <f t="shared" si="6"/>
        <v>56181.599999999999</v>
      </c>
      <c r="J22" s="14">
        <f t="shared" si="6"/>
        <v>56181.599999999999</v>
      </c>
      <c r="K22" s="14">
        <f t="shared" si="6"/>
        <v>56181.599999999999</v>
      </c>
      <c r="L22" s="14">
        <f t="shared" si="6"/>
        <v>56181.599999999999</v>
      </c>
      <c r="M22" s="14">
        <f t="shared" si="6"/>
        <v>56181.599999999999</v>
      </c>
      <c r="N22" s="14">
        <f t="shared" si="6"/>
        <v>56181.599999999999</v>
      </c>
      <c r="O22" s="14">
        <f t="shared" si="6"/>
        <v>56181.599999999999</v>
      </c>
      <c r="P22" s="14">
        <f t="shared" si="6"/>
        <v>56181.599999999999</v>
      </c>
      <c r="Q22" s="14">
        <f t="shared" si="6"/>
        <v>56181.599999999999</v>
      </c>
      <c r="R22" s="14">
        <f t="shared" si="6"/>
        <v>56181.599999999999</v>
      </c>
      <c r="S22" s="14">
        <f>SUM(G22:R22)</f>
        <v>674179.19999999984</v>
      </c>
    </row>
    <row r="23" spans="1:19" x14ac:dyDescent="0.2">
      <c r="B23" s="5"/>
      <c r="C23" t="s">
        <v>156</v>
      </c>
      <c r="F23" s="14">
        <v>48940.416000000005</v>
      </c>
      <c r="G23" s="14">
        <v>0</v>
      </c>
      <c r="H23" s="14">
        <f>+F23/10</f>
        <v>4894.0416000000005</v>
      </c>
      <c r="I23" s="14">
        <f t="shared" ref="I23:Q23" si="7">+H23</f>
        <v>4894.0416000000005</v>
      </c>
      <c r="J23" s="14">
        <f t="shared" si="7"/>
        <v>4894.0416000000005</v>
      </c>
      <c r="K23" s="14">
        <f t="shared" si="7"/>
        <v>4894.0416000000005</v>
      </c>
      <c r="L23" s="14">
        <f t="shared" si="7"/>
        <v>4894.0416000000005</v>
      </c>
      <c r="M23" s="14">
        <f t="shared" si="7"/>
        <v>4894.0416000000005</v>
      </c>
      <c r="N23" s="14">
        <f t="shared" si="7"/>
        <v>4894.0416000000005</v>
      </c>
      <c r="O23" s="14">
        <f t="shared" si="7"/>
        <v>4894.0416000000005</v>
      </c>
      <c r="P23" s="14">
        <f t="shared" si="7"/>
        <v>4894.0416000000005</v>
      </c>
      <c r="Q23" s="14">
        <f t="shared" si="7"/>
        <v>4894.0416000000005</v>
      </c>
      <c r="R23" s="14">
        <v>0</v>
      </c>
      <c r="S23" s="14">
        <f>SUM(G23:R23)</f>
        <v>48940.415999999997</v>
      </c>
    </row>
    <row r="24" spans="1:19" ht="15" x14ac:dyDescent="0.35">
      <c r="C24" t="s">
        <v>96</v>
      </c>
      <c r="E24" s="3" t="str">
        <f>CONCATENATE(para1," @ ",Misc!B8)</f>
        <v>0 @ 17280</v>
      </c>
      <c r="F24" s="4">
        <v>53934.336000000003</v>
      </c>
      <c r="G24" s="4">
        <v>0</v>
      </c>
      <c r="H24" s="4">
        <f>+F24/10</f>
        <v>5393.4336000000003</v>
      </c>
      <c r="I24" s="4">
        <f t="shared" ref="I24:Q24" si="8">+H24</f>
        <v>5393.4336000000003</v>
      </c>
      <c r="J24" s="4">
        <f t="shared" si="8"/>
        <v>5393.4336000000003</v>
      </c>
      <c r="K24" s="4">
        <f t="shared" si="8"/>
        <v>5393.4336000000003</v>
      </c>
      <c r="L24" s="4">
        <f t="shared" si="8"/>
        <v>5393.4336000000003</v>
      </c>
      <c r="M24" s="4">
        <f t="shared" si="8"/>
        <v>5393.4336000000003</v>
      </c>
      <c r="N24" s="4">
        <f t="shared" si="8"/>
        <v>5393.4336000000003</v>
      </c>
      <c r="O24" s="4">
        <f t="shared" si="8"/>
        <v>5393.4336000000003</v>
      </c>
      <c r="P24" s="4">
        <f t="shared" si="8"/>
        <v>5393.4336000000003</v>
      </c>
      <c r="Q24" s="4">
        <f t="shared" si="8"/>
        <v>5393.4336000000003</v>
      </c>
      <c r="R24" s="4">
        <v>0</v>
      </c>
      <c r="S24" s="4">
        <f>SUM(G24:R24)</f>
        <v>53934.33600000001</v>
      </c>
    </row>
    <row r="25" spans="1:19" ht="15" x14ac:dyDescent="0.35">
      <c r="D25" s="5" t="s">
        <v>41</v>
      </c>
      <c r="E25" s="9"/>
      <c r="F25" s="6">
        <v>777053.95199999993</v>
      </c>
      <c r="G25" s="6">
        <f t="shared" ref="G25:S25" si="9">SUM(G22:G24)</f>
        <v>56181.599999999999</v>
      </c>
      <c r="H25" s="6">
        <f t="shared" si="9"/>
        <v>66469.075200000007</v>
      </c>
      <c r="I25" s="6">
        <f t="shared" si="9"/>
        <v>66469.075200000007</v>
      </c>
      <c r="J25" s="6">
        <f t="shared" si="9"/>
        <v>66469.075200000007</v>
      </c>
      <c r="K25" s="6">
        <f t="shared" si="9"/>
        <v>66469.075200000007</v>
      </c>
      <c r="L25" s="6">
        <f t="shared" si="9"/>
        <v>66469.075200000007</v>
      </c>
      <c r="M25" s="6">
        <f t="shared" si="9"/>
        <v>66469.075200000007</v>
      </c>
      <c r="N25" s="6">
        <f t="shared" si="9"/>
        <v>66469.075200000007</v>
      </c>
      <c r="O25" s="6">
        <f t="shared" si="9"/>
        <v>66469.075200000007</v>
      </c>
      <c r="P25" s="6">
        <f t="shared" si="9"/>
        <v>66469.075200000007</v>
      </c>
      <c r="Q25" s="6">
        <f t="shared" si="9"/>
        <v>66469.075200000007</v>
      </c>
      <c r="R25" s="6">
        <f t="shared" si="9"/>
        <v>56181.599999999999</v>
      </c>
      <c r="S25" s="6">
        <f t="shared" si="9"/>
        <v>777053.95199999982</v>
      </c>
    </row>
    <row r="26" spans="1:19" x14ac:dyDescent="0.2">
      <c r="C26" t="s">
        <v>7</v>
      </c>
      <c r="E26" s="13">
        <v>1.4999999999999999E-2</v>
      </c>
      <c r="F26" s="14">
        <v>11655.809279999998</v>
      </c>
      <c r="G26" s="14">
        <f t="shared" ref="G26:R29" si="10">+$F26/$F$25*G$25</f>
        <v>842.72399999999982</v>
      </c>
      <c r="H26" s="14">
        <f t="shared" si="10"/>
        <v>997.03612799999996</v>
      </c>
      <c r="I26" s="14">
        <f t="shared" si="10"/>
        <v>997.03612799999996</v>
      </c>
      <c r="J26" s="14">
        <f t="shared" si="10"/>
        <v>997.03612799999996</v>
      </c>
      <c r="K26" s="14">
        <f t="shared" si="10"/>
        <v>997.03612799999996</v>
      </c>
      <c r="L26" s="14">
        <f t="shared" si="10"/>
        <v>997.03612799999996</v>
      </c>
      <c r="M26" s="14">
        <f t="shared" si="10"/>
        <v>997.03612799999996</v>
      </c>
      <c r="N26" s="14">
        <f t="shared" si="10"/>
        <v>997.03612799999996</v>
      </c>
      <c r="O26" s="14">
        <f t="shared" si="10"/>
        <v>997.03612799999996</v>
      </c>
      <c r="P26" s="14">
        <f t="shared" si="10"/>
        <v>997.03612799999996</v>
      </c>
      <c r="Q26" s="14">
        <f t="shared" si="10"/>
        <v>997.03612799999996</v>
      </c>
      <c r="R26" s="14">
        <f t="shared" si="10"/>
        <v>842.72399999999982</v>
      </c>
      <c r="S26" s="14">
        <f>SUM(G26:R26)</f>
        <v>11655.809279999998</v>
      </c>
    </row>
    <row r="27" spans="1:19" x14ac:dyDescent="0.2">
      <c r="C27" t="s">
        <v>8</v>
      </c>
      <c r="E27" s="3" t="s">
        <v>52</v>
      </c>
      <c r="F27" s="14">
        <v>63602.627327999995</v>
      </c>
      <c r="G27" s="14">
        <f t="shared" si="10"/>
        <v>4598.5190066838049</v>
      </c>
      <c r="H27" s="14">
        <f t="shared" si="10"/>
        <v>5440.5589314632398</v>
      </c>
      <c r="I27" s="14">
        <f t="shared" si="10"/>
        <v>5440.5589314632398</v>
      </c>
      <c r="J27" s="14">
        <f t="shared" si="10"/>
        <v>5440.5589314632398</v>
      </c>
      <c r="K27" s="14">
        <f t="shared" si="10"/>
        <v>5440.5589314632398</v>
      </c>
      <c r="L27" s="14">
        <f t="shared" si="10"/>
        <v>5440.5589314632398</v>
      </c>
      <c r="M27" s="14">
        <f t="shared" si="10"/>
        <v>5440.5589314632398</v>
      </c>
      <c r="N27" s="14">
        <f t="shared" si="10"/>
        <v>5440.5589314632398</v>
      </c>
      <c r="O27" s="14">
        <f t="shared" si="10"/>
        <v>5440.5589314632398</v>
      </c>
      <c r="P27" s="14">
        <f t="shared" si="10"/>
        <v>5440.5589314632398</v>
      </c>
      <c r="Q27" s="14">
        <f t="shared" si="10"/>
        <v>5440.5589314632398</v>
      </c>
      <c r="R27" s="14">
        <f t="shared" si="10"/>
        <v>4598.5190066838049</v>
      </c>
      <c r="S27" s="14">
        <f>SUM(G27:R27)</f>
        <v>63602.627327999995</v>
      </c>
    </row>
    <row r="28" spans="1:19" x14ac:dyDescent="0.2">
      <c r="C28" t="s">
        <v>9</v>
      </c>
      <c r="E28" s="3" t="str">
        <f>CONCATENATE("$",ins," per month per employee")</f>
        <v>$266.666666666666 per month per employee</v>
      </c>
      <c r="F28" s="14">
        <v>59302.8</v>
      </c>
      <c r="G28" s="14">
        <f t="shared" si="10"/>
        <v>4287.6381748071981</v>
      </c>
      <c r="H28" s="14">
        <f t="shared" si="10"/>
        <v>5072.7523650385619</v>
      </c>
      <c r="I28" s="14">
        <f t="shared" si="10"/>
        <v>5072.7523650385619</v>
      </c>
      <c r="J28" s="14">
        <f t="shared" si="10"/>
        <v>5072.7523650385619</v>
      </c>
      <c r="K28" s="14">
        <f t="shared" si="10"/>
        <v>5072.7523650385619</v>
      </c>
      <c r="L28" s="14">
        <f t="shared" si="10"/>
        <v>5072.7523650385619</v>
      </c>
      <c r="M28" s="14">
        <f t="shared" si="10"/>
        <v>5072.7523650385619</v>
      </c>
      <c r="N28" s="14">
        <f t="shared" si="10"/>
        <v>5072.7523650385619</v>
      </c>
      <c r="O28" s="14">
        <f t="shared" si="10"/>
        <v>5072.7523650385619</v>
      </c>
      <c r="P28" s="14">
        <f t="shared" si="10"/>
        <v>5072.7523650385619</v>
      </c>
      <c r="Q28" s="14">
        <f t="shared" si="10"/>
        <v>5072.7523650385619</v>
      </c>
      <c r="R28" s="14">
        <f t="shared" si="10"/>
        <v>4287.6381748071981</v>
      </c>
      <c r="S28" s="14">
        <f>SUM(G28:R28)</f>
        <v>59302.800000000017</v>
      </c>
    </row>
    <row r="29" spans="1:19" ht="15" x14ac:dyDescent="0.35">
      <c r="C29" t="s">
        <v>10</v>
      </c>
      <c r="E29" s="11" t="s">
        <v>53</v>
      </c>
      <c r="F29" s="4">
        <v>7770.5395199999994</v>
      </c>
      <c r="G29" s="4">
        <f t="shared" si="10"/>
        <v>561.81600000000003</v>
      </c>
      <c r="H29" s="4">
        <f t="shared" si="10"/>
        <v>664.69075200000009</v>
      </c>
      <c r="I29" s="4">
        <f t="shared" si="10"/>
        <v>664.69075200000009</v>
      </c>
      <c r="J29" s="4">
        <f t="shared" si="10"/>
        <v>664.69075200000009</v>
      </c>
      <c r="K29" s="4">
        <f t="shared" si="10"/>
        <v>664.69075200000009</v>
      </c>
      <c r="L29" s="4">
        <f t="shared" si="10"/>
        <v>664.69075200000009</v>
      </c>
      <c r="M29" s="4">
        <f t="shared" si="10"/>
        <v>664.69075200000009</v>
      </c>
      <c r="N29" s="4">
        <f t="shared" si="10"/>
        <v>664.69075200000009</v>
      </c>
      <c r="O29" s="4">
        <f t="shared" si="10"/>
        <v>664.69075200000009</v>
      </c>
      <c r="P29" s="4">
        <f t="shared" si="10"/>
        <v>664.69075200000009</v>
      </c>
      <c r="Q29" s="4">
        <f t="shared" si="10"/>
        <v>664.69075200000009</v>
      </c>
      <c r="R29" s="4">
        <f t="shared" si="10"/>
        <v>561.81600000000003</v>
      </c>
      <c r="S29" s="4">
        <f>SUM(G29:R29)</f>
        <v>7770.5395200000021</v>
      </c>
    </row>
    <row r="30" spans="1:19" ht="15" x14ac:dyDescent="0.35">
      <c r="D30" s="5" t="s">
        <v>42</v>
      </c>
      <c r="E30" s="9"/>
      <c r="F30" s="6">
        <v>142331.776128</v>
      </c>
      <c r="G30" s="6">
        <f t="shared" ref="G30:S30" si="11">SUM(G26:G29)</f>
        <v>10290.697181491005</v>
      </c>
      <c r="H30" s="6">
        <f t="shared" si="11"/>
        <v>12175.038176501801</v>
      </c>
      <c r="I30" s="6">
        <f t="shared" si="11"/>
        <v>12175.038176501801</v>
      </c>
      <c r="J30" s="6">
        <f t="shared" si="11"/>
        <v>12175.038176501801</v>
      </c>
      <c r="K30" s="6">
        <f t="shared" si="11"/>
        <v>12175.038176501801</v>
      </c>
      <c r="L30" s="6">
        <f t="shared" si="11"/>
        <v>12175.038176501801</v>
      </c>
      <c r="M30" s="6">
        <f t="shared" si="11"/>
        <v>12175.038176501801</v>
      </c>
      <c r="N30" s="6">
        <f t="shared" si="11"/>
        <v>12175.038176501801</v>
      </c>
      <c r="O30" s="6">
        <f t="shared" si="11"/>
        <v>12175.038176501801</v>
      </c>
      <c r="P30" s="6">
        <f t="shared" si="11"/>
        <v>12175.038176501801</v>
      </c>
      <c r="Q30" s="6">
        <f t="shared" si="11"/>
        <v>12175.038176501801</v>
      </c>
      <c r="R30" s="6">
        <f t="shared" si="11"/>
        <v>10290.697181491005</v>
      </c>
      <c r="S30" s="6">
        <f t="shared" si="11"/>
        <v>142331.776128</v>
      </c>
    </row>
    <row r="31" spans="1:19" x14ac:dyDescent="0.2">
      <c r="C31" t="s">
        <v>11</v>
      </c>
      <c r="E31" s="3" t="s">
        <v>140</v>
      </c>
      <c r="F31" s="14">
        <v>15606</v>
      </c>
      <c r="G31" s="14">
        <v>0</v>
      </c>
      <c r="H31" s="14">
        <f>+F31/10</f>
        <v>1560.6</v>
      </c>
      <c r="I31" s="14">
        <f t="shared" ref="I31:Q31" si="12">+H31</f>
        <v>1560.6</v>
      </c>
      <c r="J31" s="14">
        <f t="shared" si="12"/>
        <v>1560.6</v>
      </c>
      <c r="K31" s="14">
        <f t="shared" si="12"/>
        <v>1560.6</v>
      </c>
      <c r="L31" s="14">
        <f t="shared" si="12"/>
        <v>1560.6</v>
      </c>
      <c r="M31" s="14">
        <f t="shared" si="12"/>
        <v>1560.6</v>
      </c>
      <c r="N31" s="14">
        <f t="shared" si="12"/>
        <v>1560.6</v>
      </c>
      <c r="O31" s="14">
        <f t="shared" si="12"/>
        <v>1560.6</v>
      </c>
      <c r="P31" s="14">
        <f t="shared" si="12"/>
        <v>1560.6</v>
      </c>
      <c r="Q31" s="14">
        <f t="shared" si="12"/>
        <v>1560.6</v>
      </c>
      <c r="R31" s="14">
        <v>0</v>
      </c>
      <c r="S31" s="14">
        <f t="shared" ref="S31:S39" si="13">SUM(G31:R31)</f>
        <v>15606.000000000002</v>
      </c>
    </row>
    <row r="32" spans="1:19" x14ac:dyDescent="0.2">
      <c r="C32" t="s">
        <v>12</v>
      </c>
      <c r="E32" s="3" t="s">
        <v>54</v>
      </c>
      <c r="F32" s="14">
        <v>1000</v>
      </c>
      <c r="G32" s="14">
        <f>+F32/3</f>
        <v>333.33333333333331</v>
      </c>
      <c r="H32" s="14">
        <v>0</v>
      </c>
      <c r="I32" s="14">
        <v>0</v>
      </c>
      <c r="J32" s="14">
        <v>0</v>
      </c>
      <c r="K32" s="14">
        <v>0</v>
      </c>
      <c r="L32" s="14">
        <f>+G32</f>
        <v>333.33333333333331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f>+G32</f>
        <v>333.33333333333331</v>
      </c>
      <c r="S32" s="14">
        <f t="shared" si="13"/>
        <v>1000</v>
      </c>
    </row>
    <row r="33" spans="2:19" x14ac:dyDescent="0.2">
      <c r="C33" t="s">
        <v>13</v>
      </c>
      <c r="E33" s="3" t="s">
        <v>106</v>
      </c>
      <c r="F33" s="14">
        <v>23409</v>
      </c>
      <c r="G33" s="14">
        <f>+F33/4</f>
        <v>5852.25</v>
      </c>
      <c r="H33" s="14">
        <f>+(F33-G33)/11</f>
        <v>1596.0681818181818</v>
      </c>
      <c r="I33" s="14">
        <f t="shared" ref="I33:R33" si="14">+H33</f>
        <v>1596.0681818181818</v>
      </c>
      <c r="J33" s="14">
        <f t="shared" si="14"/>
        <v>1596.0681818181818</v>
      </c>
      <c r="K33" s="14">
        <f t="shared" si="14"/>
        <v>1596.0681818181818</v>
      </c>
      <c r="L33" s="14">
        <f t="shared" si="14"/>
        <v>1596.0681818181818</v>
      </c>
      <c r="M33" s="14">
        <f t="shared" si="14"/>
        <v>1596.0681818181818</v>
      </c>
      <c r="N33" s="14">
        <f t="shared" si="14"/>
        <v>1596.0681818181818</v>
      </c>
      <c r="O33" s="14">
        <f t="shared" si="14"/>
        <v>1596.0681818181818</v>
      </c>
      <c r="P33" s="14">
        <f t="shared" si="14"/>
        <v>1596.0681818181818</v>
      </c>
      <c r="Q33" s="14">
        <f t="shared" si="14"/>
        <v>1596.0681818181818</v>
      </c>
      <c r="R33" s="14">
        <f t="shared" si="14"/>
        <v>1596.0681818181818</v>
      </c>
      <c r="S33" s="14">
        <f t="shared" si="13"/>
        <v>23408.999999999993</v>
      </c>
    </row>
    <row r="34" spans="2:19" hidden="1" x14ac:dyDescent="0.2">
      <c r="C34" t="s">
        <v>115</v>
      </c>
      <c r="E34" s="3" t="s">
        <v>137</v>
      </c>
      <c r="F34" s="14">
        <v>0</v>
      </c>
      <c r="G34" s="14">
        <f>+F34/4</f>
        <v>0</v>
      </c>
      <c r="H34" s="14">
        <f>+(F34-G34)/11</f>
        <v>0</v>
      </c>
      <c r="I34" s="14">
        <f t="shared" ref="I34:R34" si="15">+H34</f>
        <v>0</v>
      </c>
      <c r="J34" s="14">
        <f t="shared" si="15"/>
        <v>0</v>
      </c>
      <c r="K34" s="14">
        <f t="shared" si="15"/>
        <v>0</v>
      </c>
      <c r="L34" s="14">
        <f t="shared" si="15"/>
        <v>0</v>
      </c>
      <c r="M34" s="14">
        <f t="shared" si="15"/>
        <v>0</v>
      </c>
      <c r="N34" s="14">
        <f t="shared" si="15"/>
        <v>0</v>
      </c>
      <c r="O34" s="14">
        <f t="shared" si="15"/>
        <v>0</v>
      </c>
      <c r="P34" s="14">
        <f t="shared" si="15"/>
        <v>0</v>
      </c>
      <c r="Q34" s="14">
        <f t="shared" si="15"/>
        <v>0</v>
      </c>
      <c r="R34" s="14">
        <f t="shared" si="15"/>
        <v>0</v>
      </c>
      <c r="S34" s="14">
        <f t="shared" si="13"/>
        <v>0</v>
      </c>
    </row>
    <row r="35" spans="2:19" x14ac:dyDescent="0.2">
      <c r="C35" t="s">
        <v>14</v>
      </c>
      <c r="E35" s="3" t="s">
        <v>68</v>
      </c>
      <c r="F35" s="14">
        <v>56949.440365986629</v>
      </c>
      <c r="G35" s="14" t="e">
        <f>+(Annual!J50-Annual!H50)/4+'Yr1 Cash Flow'!G35</f>
        <v>#REF!</v>
      </c>
      <c r="H35" s="14" t="e">
        <f>(Annual!J50-Annual!H50)/4*3/11+'Yr1 Cash Flow'!G35</f>
        <v>#REF!</v>
      </c>
      <c r="I35" s="14" t="e">
        <f t="shared" ref="I35:R35" si="16">+H35</f>
        <v>#REF!</v>
      </c>
      <c r="J35" s="14" t="e">
        <f t="shared" si="16"/>
        <v>#REF!</v>
      </c>
      <c r="K35" s="14" t="e">
        <f t="shared" si="16"/>
        <v>#REF!</v>
      </c>
      <c r="L35" s="14" t="e">
        <f t="shared" si="16"/>
        <v>#REF!</v>
      </c>
      <c r="M35" s="14" t="e">
        <f t="shared" si="16"/>
        <v>#REF!</v>
      </c>
      <c r="N35" s="14" t="e">
        <f t="shared" si="16"/>
        <v>#REF!</v>
      </c>
      <c r="O35" s="14" t="e">
        <f t="shared" si="16"/>
        <v>#REF!</v>
      </c>
      <c r="P35" s="14" t="e">
        <f t="shared" si="16"/>
        <v>#REF!</v>
      </c>
      <c r="Q35" s="14" t="e">
        <f t="shared" si="16"/>
        <v>#REF!</v>
      </c>
      <c r="R35" s="14" t="e">
        <f t="shared" si="16"/>
        <v>#REF!</v>
      </c>
      <c r="S35" s="14" t="e">
        <f t="shared" si="13"/>
        <v>#REF!</v>
      </c>
    </row>
    <row r="36" spans="2:19" x14ac:dyDescent="0.2">
      <c r="C36" t="s">
        <v>69</v>
      </c>
      <c r="E36" s="3" t="s">
        <v>105</v>
      </c>
      <c r="F36" s="14">
        <v>624.24</v>
      </c>
      <c r="G36" s="14">
        <f>+F36/4</f>
        <v>156.06</v>
      </c>
      <c r="H36" s="14">
        <f>+(F36-G36)/11</f>
        <v>42.561818181818182</v>
      </c>
      <c r="I36" s="14">
        <f t="shared" ref="I36:R36" si="17">+H36</f>
        <v>42.561818181818182</v>
      </c>
      <c r="J36" s="14">
        <f t="shared" si="17"/>
        <v>42.561818181818182</v>
      </c>
      <c r="K36" s="14">
        <f t="shared" si="17"/>
        <v>42.561818181818182</v>
      </c>
      <c r="L36" s="14">
        <f t="shared" si="17"/>
        <v>42.561818181818182</v>
      </c>
      <c r="M36" s="14">
        <f t="shared" si="17"/>
        <v>42.561818181818182</v>
      </c>
      <c r="N36" s="14">
        <f t="shared" si="17"/>
        <v>42.561818181818182</v>
      </c>
      <c r="O36" s="14">
        <f t="shared" si="17"/>
        <v>42.561818181818182</v>
      </c>
      <c r="P36" s="14">
        <f t="shared" si="17"/>
        <v>42.561818181818182</v>
      </c>
      <c r="Q36" s="14">
        <f t="shared" si="17"/>
        <v>42.561818181818182</v>
      </c>
      <c r="R36" s="14">
        <f t="shared" si="17"/>
        <v>42.561818181818182</v>
      </c>
      <c r="S36" s="14">
        <f t="shared" si="13"/>
        <v>624.24</v>
      </c>
    </row>
    <row r="37" spans="2:19" x14ac:dyDescent="0.2">
      <c r="C37" t="s">
        <v>15</v>
      </c>
      <c r="E37" s="3" t="s">
        <v>107</v>
      </c>
      <c r="F37" s="14">
        <v>24350.683389781545</v>
      </c>
      <c r="G37" s="14" t="e">
        <f>+(Annual!J52-Annual!H52)/4+'Yr1 Cash Flow'!G37</f>
        <v>#REF!</v>
      </c>
      <c r="H37" s="14" t="e">
        <f>(Annual!J52-Annual!H52)/4*3/11+'Yr1 Cash Flow'!G37</f>
        <v>#REF!</v>
      </c>
      <c r="I37" s="14" t="e">
        <f t="shared" ref="I37:R37" si="18">+H37</f>
        <v>#REF!</v>
      </c>
      <c r="J37" s="14" t="e">
        <f t="shared" si="18"/>
        <v>#REF!</v>
      </c>
      <c r="K37" s="14" t="e">
        <f t="shared" si="18"/>
        <v>#REF!</v>
      </c>
      <c r="L37" s="14" t="e">
        <f t="shared" si="18"/>
        <v>#REF!</v>
      </c>
      <c r="M37" s="14" t="e">
        <f t="shared" si="18"/>
        <v>#REF!</v>
      </c>
      <c r="N37" s="14" t="e">
        <f t="shared" si="18"/>
        <v>#REF!</v>
      </c>
      <c r="O37" s="14" t="e">
        <f t="shared" si="18"/>
        <v>#REF!</v>
      </c>
      <c r="P37" s="14" t="e">
        <f t="shared" si="18"/>
        <v>#REF!</v>
      </c>
      <c r="Q37" s="14" t="e">
        <f t="shared" si="18"/>
        <v>#REF!</v>
      </c>
      <c r="R37" s="14" t="e">
        <f t="shared" si="18"/>
        <v>#REF!</v>
      </c>
      <c r="S37" s="14" t="e">
        <f t="shared" si="13"/>
        <v>#REF!</v>
      </c>
    </row>
    <row r="38" spans="2:19" x14ac:dyDescent="0.2">
      <c r="C38" t="s">
        <v>16</v>
      </c>
      <c r="E38" s="3" t="s">
        <v>54</v>
      </c>
      <c r="F38" s="14">
        <v>2653.02</v>
      </c>
      <c r="G38" s="14">
        <f>+F38/4</f>
        <v>663.255</v>
      </c>
      <c r="H38" s="14">
        <f>+(F38-G38)/11</f>
        <v>180.88772727272726</v>
      </c>
      <c r="I38" s="14">
        <f t="shared" ref="I38:R38" si="19">+H38</f>
        <v>180.88772727272726</v>
      </c>
      <c r="J38" s="14">
        <f t="shared" si="19"/>
        <v>180.88772727272726</v>
      </c>
      <c r="K38" s="14">
        <f t="shared" si="19"/>
        <v>180.88772727272726</v>
      </c>
      <c r="L38" s="14">
        <f t="shared" si="19"/>
        <v>180.88772727272726</v>
      </c>
      <c r="M38" s="14">
        <f t="shared" si="19"/>
        <v>180.88772727272726</v>
      </c>
      <c r="N38" s="14">
        <f t="shared" si="19"/>
        <v>180.88772727272726</v>
      </c>
      <c r="O38" s="14">
        <f t="shared" si="19"/>
        <v>180.88772727272726</v>
      </c>
      <c r="P38" s="14">
        <f t="shared" si="19"/>
        <v>180.88772727272726</v>
      </c>
      <c r="Q38" s="14">
        <f t="shared" si="19"/>
        <v>180.88772727272726</v>
      </c>
      <c r="R38" s="14">
        <f t="shared" si="19"/>
        <v>180.88772727272726</v>
      </c>
      <c r="S38" s="14">
        <f t="shared" si="13"/>
        <v>2653.02</v>
      </c>
    </row>
    <row r="39" spans="2:19" ht="15" x14ac:dyDescent="0.35">
      <c r="C39" t="s">
        <v>17</v>
      </c>
      <c r="E39" s="3" t="s">
        <v>116</v>
      </c>
      <c r="F39" s="4">
        <v>4993.92</v>
      </c>
      <c r="G39" s="4">
        <v>0</v>
      </c>
      <c r="H39" s="4">
        <f>+F39/10</f>
        <v>499.392</v>
      </c>
      <c r="I39" s="4">
        <f t="shared" ref="I39:Q39" si="20">+H39</f>
        <v>499.392</v>
      </c>
      <c r="J39" s="4">
        <f t="shared" si="20"/>
        <v>499.392</v>
      </c>
      <c r="K39" s="4">
        <f t="shared" si="20"/>
        <v>499.392</v>
      </c>
      <c r="L39" s="4">
        <f t="shared" si="20"/>
        <v>499.392</v>
      </c>
      <c r="M39" s="4">
        <f t="shared" si="20"/>
        <v>499.392</v>
      </c>
      <c r="N39" s="4">
        <f t="shared" si="20"/>
        <v>499.392</v>
      </c>
      <c r="O39" s="4">
        <f t="shared" si="20"/>
        <v>499.392</v>
      </c>
      <c r="P39" s="4">
        <f t="shared" si="20"/>
        <v>499.392</v>
      </c>
      <c r="Q39" s="4">
        <f t="shared" si="20"/>
        <v>499.392</v>
      </c>
      <c r="R39" s="4">
        <v>0</v>
      </c>
      <c r="S39" s="4">
        <f t="shared" si="13"/>
        <v>4993.9199999999992</v>
      </c>
    </row>
    <row r="40" spans="2:19" ht="15" x14ac:dyDescent="0.35">
      <c r="D40" s="5" t="s">
        <v>43</v>
      </c>
      <c r="E40" s="9"/>
      <c r="F40" s="6">
        <v>129586.3037557682</v>
      </c>
      <c r="G40" s="6" t="e">
        <f t="shared" ref="G40:S40" si="21">SUM(G31:G39)</f>
        <v>#REF!</v>
      </c>
      <c r="H40" s="6" t="e">
        <f t="shared" si="21"/>
        <v>#REF!</v>
      </c>
      <c r="I40" s="6" t="e">
        <f t="shared" si="21"/>
        <v>#REF!</v>
      </c>
      <c r="J40" s="6" t="e">
        <f t="shared" si="21"/>
        <v>#REF!</v>
      </c>
      <c r="K40" s="6" t="e">
        <f t="shared" si="21"/>
        <v>#REF!</v>
      </c>
      <c r="L40" s="6" t="e">
        <f t="shared" si="21"/>
        <v>#REF!</v>
      </c>
      <c r="M40" s="6" t="e">
        <f t="shared" si="21"/>
        <v>#REF!</v>
      </c>
      <c r="N40" s="6" t="e">
        <f t="shared" si="21"/>
        <v>#REF!</v>
      </c>
      <c r="O40" s="6" t="e">
        <f t="shared" si="21"/>
        <v>#REF!</v>
      </c>
      <c r="P40" s="6" t="e">
        <f t="shared" si="21"/>
        <v>#REF!</v>
      </c>
      <c r="Q40" s="6" t="e">
        <f t="shared" si="21"/>
        <v>#REF!</v>
      </c>
      <c r="R40" s="6" t="e">
        <f t="shared" si="21"/>
        <v>#REF!</v>
      </c>
      <c r="S40" s="6" t="e">
        <f t="shared" si="21"/>
        <v>#REF!</v>
      </c>
    </row>
    <row r="41" spans="2:19" ht="15" x14ac:dyDescent="0.35">
      <c r="B41" s="5" t="s">
        <v>18</v>
      </c>
      <c r="C41" s="5"/>
      <c r="D41" s="5"/>
      <c r="E41" s="9"/>
      <c r="F41" s="6">
        <v>1048972.0318837683</v>
      </c>
      <c r="G41" s="6" t="e">
        <f t="shared" ref="G41:S41" si="22">SUM(G40,G30,G25)</f>
        <v>#REF!</v>
      </c>
      <c r="H41" s="6" t="e">
        <f t="shared" si="22"/>
        <v>#REF!</v>
      </c>
      <c r="I41" s="6" t="e">
        <f t="shared" si="22"/>
        <v>#REF!</v>
      </c>
      <c r="J41" s="6" t="e">
        <f t="shared" si="22"/>
        <v>#REF!</v>
      </c>
      <c r="K41" s="6" t="e">
        <f t="shared" si="22"/>
        <v>#REF!</v>
      </c>
      <c r="L41" s="6" t="e">
        <f t="shared" si="22"/>
        <v>#REF!</v>
      </c>
      <c r="M41" s="6" t="e">
        <f t="shared" si="22"/>
        <v>#REF!</v>
      </c>
      <c r="N41" s="6" t="e">
        <f t="shared" si="22"/>
        <v>#REF!</v>
      </c>
      <c r="O41" s="6" t="e">
        <f t="shared" si="22"/>
        <v>#REF!</v>
      </c>
      <c r="P41" s="6" t="e">
        <f t="shared" si="22"/>
        <v>#REF!</v>
      </c>
      <c r="Q41" s="6" t="e">
        <f t="shared" si="22"/>
        <v>#REF!</v>
      </c>
      <c r="R41" s="6" t="e">
        <f t="shared" si="22"/>
        <v>#REF!</v>
      </c>
      <c r="S41" s="6" t="e">
        <f t="shared" si="22"/>
        <v>#REF!</v>
      </c>
    </row>
    <row r="42" spans="2:19" hidden="1" x14ac:dyDescent="0.2"/>
    <row r="43" spans="2:19" hidden="1" x14ac:dyDescent="0.2">
      <c r="B43" s="5" t="s">
        <v>66</v>
      </c>
    </row>
    <row r="44" spans="2:19" ht="15" hidden="1" x14ac:dyDescent="0.35">
      <c r="B44" s="5"/>
      <c r="C44" t="s">
        <v>109</v>
      </c>
      <c r="F44" s="4">
        <v>0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2:19" ht="15" hidden="1" x14ac:dyDescent="0.35">
      <c r="B45" s="5"/>
      <c r="C45" t="s">
        <v>114</v>
      </c>
      <c r="F45" s="4">
        <v>0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2:19" ht="15" hidden="1" x14ac:dyDescent="0.35">
      <c r="B46" s="5"/>
      <c r="D46" s="5" t="s">
        <v>110</v>
      </c>
      <c r="F46" s="6">
        <v>0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</row>
    <row r="47" spans="2:19" hidden="1" x14ac:dyDescent="0.2">
      <c r="B47" s="5"/>
      <c r="C47" t="s">
        <v>7</v>
      </c>
      <c r="E47" s="13">
        <v>1.4999999999999999E-2</v>
      </c>
      <c r="F47" s="14">
        <v>0</v>
      </c>
    </row>
    <row r="48" spans="2:19" hidden="1" x14ac:dyDescent="0.2">
      <c r="B48" s="5"/>
      <c r="C48" t="s">
        <v>8</v>
      </c>
      <c r="E48" s="3" t="s">
        <v>52</v>
      </c>
      <c r="F48" s="14">
        <v>0</v>
      </c>
    </row>
    <row r="49" spans="2:19" hidden="1" x14ac:dyDescent="0.2">
      <c r="B49" s="5"/>
      <c r="C49" t="s">
        <v>9</v>
      </c>
      <c r="E49" s="3" t="str">
        <f>CONCATENATE(ins," per month per employee")</f>
        <v>266.666666666666 per month per employee</v>
      </c>
      <c r="F49" s="14">
        <v>0</v>
      </c>
    </row>
    <row r="50" spans="2:19" ht="15" hidden="1" x14ac:dyDescent="0.35">
      <c r="B50" s="5"/>
      <c r="C50" t="s">
        <v>10</v>
      </c>
      <c r="E50" s="11" t="s">
        <v>53</v>
      </c>
      <c r="F50" s="4">
        <v>0</v>
      </c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2:19" ht="15" hidden="1" x14ac:dyDescent="0.35">
      <c r="B51" s="5"/>
      <c r="D51" s="5" t="s">
        <v>111</v>
      </c>
      <c r="F51" s="6">
        <v>0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</row>
    <row r="52" spans="2:19" ht="15" hidden="1" x14ac:dyDescent="0.35">
      <c r="B52" s="5"/>
      <c r="C52" t="s">
        <v>13</v>
      </c>
      <c r="E52" s="3" t="s">
        <v>72</v>
      </c>
      <c r="F52" s="4">
        <v>0</v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2:19" ht="15" hidden="1" x14ac:dyDescent="0.35">
      <c r="B53" s="5"/>
      <c r="D53" s="5" t="s">
        <v>112</v>
      </c>
      <c r="F53" s="6">
        <v>0</v>
      </c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</row>
    <row r="54" spans="2:19" ht="15" hidden="1" x14ac:dyDescent="0.35">
      <c r="B54" s="5" t="s">
        <v>84</v>
      </c>
      <c r="F54" s="6">
        <v>0</v>
      </c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2:19" ht="15" hidden="1" x14ac:dyDescent="0.35">
      <c r="B55" s="5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2:19" hidden="1" x14ac:dyDescent="0.2">
      <c r="B56" s="5" t="s">
        <v>117</v>
      </c>
    </row>
    <row r="57" spans="2:19" ht="15" hidden="1" x14ac:dyDescent="0.35">
      <c r="B57" s="5"/>
      <c r="C57" t="s">
        <v>118</v>
      </c>
      <c r="F57" s="4">
        <v>0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2:19" ht="15" hidden="1" x14ac:dyDescent="0.35">
      <c r="B58" s="5"/>
      <c r="C58" t="s">
        <v>114</v>
      </c>
      <c r="F58" s="4">
        <v>0</v>
      </c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2:19" ht="15" hidden="1" x14ac:dyDescent="0.35">
      <c r="B59" s="5"/>
      <c r="D59" s="5" t="s">
        <v>121</v>
      </c>
      <c r="F59" s="6">
        <v>0</v>
      </c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</row>
    <row r="60" spans="2:19" hidden="1" x14ac:dyDescent="0.2">
      <c r="B60" s="5"/>
      <c r="C60" t="s">
        <v>7</v>
      </c>
      <c r="E60" s="13">
        <v>1.4999999999999999E-2</v>
      </c>
      <c r="F60" s="14">
        <v>0</v>
      </c>
    </row>
    <row r="61" spans="2:19" hidden="1" x14ac:dyDescent="0.2">
      <c r="B61" s="5"/>
      <c r="C61" t="s">
        <v>8</v>
      </c>
      <c r="E61" s="3" t="s">
        <v>52</v>
      </c>
      <c r="F61" s="14">
        <v>0</v>
      </c>
    </row>
    <row r="62" spans="2:19" hidden="1" x14ac:dyDescent="0.2">
      <c r="B62" s="5"/>
      <c r="C62" t="s">
        <v>9</v>
      </c>
      <c r="E62" s="3" t="str">
        <f>CONCATENATE(ins," per month per employee")</f>
        <v>266.666666666666 per month per employee</v>
      </c>
      <c r="F62" s="14">
        <v>0</v>
      </c>
    </row>
    <row r="63" spans="2:19" ht="15" hidden="1" x14ac:dyDescent="0.35">
      <c r="B63" s="5"/>
      <c r="C63" t="s">
        <v>10</v>
      </c>
      <c r="E63" s="11" t="s">
        <v>53</v>
      </c>
      <c r="F63" s="4">
        <v>0</v>
      </c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2:19" ht="15" hidden="1" x14ac:dyDescent="0.35">
      <c r="B64" s="5"/>
      <c r="D64" s="5" t="s">
        <v>122</v>
      </c>
      <c r="F64" s="6">
        <v>0</v>
      </c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2:19" hidden="1" x14ac:dyDescent="0.2">
      <c r="B65" s="5"/>
      <c r="C65" t="s">
        <v>13</v>
      </c>
      <c r="D65" s="5"/>
      <c r="F65" s="14">
        <v>0</v>
      </c>
    </row>
    <row r="66" spans="2:19" hidden="1" x14ac:dyDescent="0.2">
      <c r="B66" s="5"/>
      <c r="C66" t="s">
        <v>120</v>
      </c>
      <c r="D66" s="5"/>
      <c r="F66" s="14">
        <v>0</v>
      </c>
    </row>
    <row r="67" spans="2:19" ht="15" hidden="1" x14ac:dyDescent="0.35">
      <c r="B67" s="5"/>
      <c r="C67" t="s">
        <v>119</v>
      </c>
      <c r="F67" s="4">
        <v>0</v>
      </c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2:19" ht="15" hidden="1" x14ac:dyDescent="0.35">
      <c r="B68" s="5"/>
      <c r="D68" s="5" t="s">
        <v>123</v>
      </c>
      <c r="F68" s="6">
        <v>0</v>
      </c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</row>
    <row r="69" spans="2:19" ht="15" hidden="1" x14ac:dyDescent="0.35">
      <c r="B69" s="5" t="s">
        <v>124</v>
      </c>
      <c r="F69" s="6">
        <v>0</v>
      </c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</row>
    <row r="70" spans="2:19" hidden="1" x14ac:dyDescent="0.2"/>
    <row r="71" spans="2:19" hidden="1" x14ac:dyDescent="0.2">
      <c r="B71" s="5" t="s">
        <v>91</v>
      </c>
    </row>
    <row r="72" spans="2:19" ht="15" hidden="1" x14ac:dyDescent="0.35">
      <c r="C72" s="5" t="s">
        <v>11</v>
      </c>
      <c r="D72" s="5"/>
      <c r="E72" s="3" t="s">
        <v>54</v>
      </c>
      <c r="F72" s="6">
        <v>0</v>
      </c>
      <c r="G72" s="6">
        <f>+F72</f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f>SUM(G72:R72)</f>
        <v>0</v>
      </c>
    </row>
    <row r="73" spans="2:19" x14ac:dyDescent="0.2"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</row>
    <row r="74" spans="2:19" x14ac:dyDescent="0.2">
      <c r="B74" s="5" t="s">
        <v>19</v>
      </c>
    </row>
    <row r="75" spans="2:19" ht="15" x14ac:dyDescent="0.35">
      <c r="C75" s="5" t="s">
        <v>11</v>
      </c>
      <c r="D75" s="5"/>
      <c r="E75" s="3" t="s">
        <v>54</v>
      </c>
      <c r="F75" s="6">
        <v>7803</v>
      </c>
      <c r="G75" s="6">
        <f>+F75</f>
        <v>7803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f>SUM(G75:R75)</f>
        <v>7803</v>
      </c>
    </row>
    <row r="77" spans="2:19" x14ac:dyDescent="0.2">
      <c r="B77" s="5" t="s">
        <v>24</v>
      </c>
    </row>
    <row r="78" spans="2:19" x14ac:dyDescent="0.2">
      <c r="C78" t="s">
        <v>20</v>
      </c>
      <c r="E78" s="3" t="s">
        <v>54</v>
      </c>
      <c r="F78" s="14">
        <v>2000</v>
      </c>
      <c r="G78" s="14">
        <f>+F78/12</f>
        <v>166.66666666666666</v>
      </c>
      <c r="H78" s="14">
        <f t="shared" ref="H78:R78" si="23">+G78</f>
        <v>166.66666666666666</v>
      </c>
      <c r="I78" s="14">
        <f t="shared" si="23"/>
        <v>166.66666666666666</v>
      </c>
      <c r="J78" s="14">
        <f t="shared" si="23"/>
        <v>166.66666666666666</v>
      </c>
      <c r="K78" s="14">
        <f t="shared" si="23"/>
        <v>166.66666666666666</v>
      </c>
      <c r="L78" s="14">
        <f t="shared" si="23"/>
        <v>166.66666666666666</v>
      </c>
      <c r="M78" s="14">
        <f t="shared" si="23"/>
        <v>166.66666666666666</v>
      </c>
      <c r="N78" s="14">
        <f t="shared" si="23"/>
        <v>166.66666666666666</v>
      </c>
      <c r="O78" s="14">
        <f t="shared" si="23"/>
        <v>166.66666666666666</v>
      </c>
      <c r="P78" s="14">
        <f t="shared" si="23"/>
        <v>166.66666666666666</v>
      </c>
      <c r="Q78" s="14">
        <f t="shared" si="23"/>
        <v>166.66666666666666</v>
      </c>
      <c r="R78" s="14">
        <f t="shared" si="23"/>
        <v>166.66666666666666</v>
      </c>
      <c r="S78" s="14">
        <f t="shared" ref="S78:S85" si="24">SUM(G78:R78)</f>
        <v>2000.0000000000002</v>
      </c>
    </row>
    <row r="79" spans="2:19" x14ac:dyDescent="0.2">
      <c r="C79" t="s">
        <v>157</v>
      </c>
      <c r="E79" s="3" t="s">
        <v>54</v>
      </c>
      <c r="F79" s="14">
        <v>180190.36244680855</v>
      </c>
      <c r="G79" s="14">
        <f>+F79/12</f>
        <v>15015.863537234045</v>
      </c>
      <c r="H79" s="14">
        <f t="shared" ref="H79:R79" si="25">+G79</f>
        <v>15015.863537234045</v>
      </c>
      <c r="I79" s="14">
        <f t="shared" si="25"/>
        <v>15015.863537234045</v>
      </c>
      <c r="J79" s="14">
        <f t="shared" si="25"/>
        <v>15015.863537234045</v>
      </c>
      <c r="K79" s="14">
        <f t="shared" si="25"/>
        <v>15015.863537234045</v>
      </c>
      <c r="L79" s="14">
        <f t="shared" si="25"/>
        <v>15015.863537234045</v>
      </c>
      <c r="M79" s="14">
        <f t="shared" si="25"/>
        <v>15015.863537234045</v>
      </c>
      <c r="N79" s="14">
        <f t="shared" si="25"/>
        <v>15015.863537234045</v>
      </c>
      <c r="O79" s="14">
        <f t="shared" si="25"/>
        <v>15015.863537234045</v>
      </c>
      <c r="P79" s="14">
        <f t="shared" si="25"/>
        <v>15015.863537234045</v>
      </c>
      <c r="Q79" s="14">
        <f t="shared" si="25"/>
        <v>15015.863537234045</v>
      </c>
      <c r="R79" s="14">
        <f t="shared" si="25"/>
        <v>15015.863537234045</v>
      </c>
      <c r="S79" s="14">
        <f t="shared" si="24"/>
        <v>180190.36244680858</v>
      </c>
    </row>
    <row r="80" spans="2:19" x14ac:dyDescent="0.2">
      <c r="C80" t="s">
        <v>76</v>
      </c>
      <c r="E80" s="3" t="s">
        <v>54</v>
      </c>
      <c r="F80" s="14">
        <v>9363.6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f>+F80</f>
        <v>9363.6</v>
      </c>
      <c r="S80" s="14">
        <f t="shared" si="24"/>
        <v>9363.6</v>
      </c>
    </row>
    <row r="81" spans="2:19" hidden="1" x14ac:dyDescent="0.2">
      <c r="C81" t="s">
        <v>93</v>
      </c>
      <c r="E81" s="3" t="s">
        <v>54</v>
      </c>
      <c r="F81" s="14">
        <v>0</v>
      </c>
      <c r="G81" s="14">
        <f>+F81</f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f t="shared" si="24"/>
        <v>0</v>
      </c>
    </row>
    <row r="82" spans="2:19" x14ac:dyDescent="0.2">
      <c r="C82" t="s">
        <v>12</v>
      </c>
      <c r="E82" s="3" t="s">
        <v>54</v>
      </c>
      <c r="F82" s="14">
        <v>4161.6000000000004</v>
      </c>
      <c r="G82" s="14">
        <f>+F82/12</f>
        <v>346.8</v>
      </c>
      <c r="H82" s="14">
        <f t="shared" ref="H82:R82" si="26">+G82</f>
        <v>346.8</v>
      </c>
      <c r="I82" s="14">
        <f t="shared" si="26"/>
        <v>346.8</v>
      </c>
      <c r="J82" s="14">
        <f t="shared" si="26"/>
        <v>346.8</v>
      </c>
      <c r="K82" s="14">
        <f t="shared" si="26"/>
        <v>346.8</v>
      </c>
      <c r="L82" s="14">
        <f t="shared" si="26"/>
        <v>346.8</v>
      </c>
      <c r="M82" s="14">
        <f t="shared" si="26"/>
        <v>346.8</v>
      </c>
      <c r="N82" s="14">
        <f t="shared" si="26"/>
        <v>346.8</v>
      </c>
      <c r="O82" s="14">
        <f t="shared" si="26"/>
        <v>346.8</v>
      </c>
      <c r="P82" s="14">
        <f t="shared" si="26"/>
        <v>346.8</v>
      </c>
      <c r="Q82" s="14">
        <f t="shared" si="26"/>
        <v>346.8</v>
      </c>
      <c r="R82" s="14">
        <f t="shared" si="26"/>
        <v>346.8</v>
      </c>
      <c r="S82" s="14">
        <f t="shared" si="24"/>
        <v>4161.6000000000013</v>
      </c>
    </row>
    <row r="83" spans="2:19" x14ac:dyDescent="0.2">
      <c r="C83" t="s">
        <v>21</v>
      </c>
      <c r="E83" s="3" t="s">
        <v>54</v>
      </c>
      <c r="F83" s="14">
        <v>9363.6</v>
      </c>
      <c r="G83" s="14">
        <f>+F83</f>
        <v>9363.6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f t="shared" si="24"/>
        <v>9363.6</v>
      </c>
    </row>
    <row r="84" spans="2:19" ht="15" x14ac:dyDescent="0.35">
      <c r="C84" t="s">
        <v>22</v>
      </c>
      <c r="E84" s="16"/>
      <c r="F84" s="4">
        <v>90095.181223404274</v>
      </c>
      <c r="G84" s="4">
        <f>+F84/12</f>
        <v>7507.9317686170225</v>
      </c>
      <c r="H84" s="4">
        <f t="shared" ref="H84:R84" si="27">+G84</f>
        <v>7507.9317686170225</v>
      </c>
      <c r="I84" s="4">
        <f t="shared" si="27"/>
        <v>7507.9317686170225</v>
      </c>
      <c r="J84" s="4">
        <f t="shared" si="27"/>
        <v>7507.9317686170225</v>
      </c>
      <c r="K84" s="4">
        <f t="shared" si="27"/>
        <v>7507.9317686170225</v>
      </c>
      <c r="L84" s="4">
        <f t="shared" si="27"/>
        <v>7507.9317686170225</v>
      </c>
      <c r="M84" s="4">
        <f t="shared" si="27"/>
        <v>7507.9317686170225</v>
      </c>
      <c r="N84" s="4">
        <f t="shared" si="27"/>
        <v>7507.9317686170225</v>
      </c>
      <c r="O84" s="4">
        <f t="shared" si="27"/>
        <v>7507.9317686170225</v>
      </c>
      <c r="P84" s="4">
        <f t="shared" si="27"/>
        <v>7507.9317686170225</v>
      </c>
      <c r="Q84" s="4">
        <f t="shared" si="27"/>
        <v>7507.9317686170225</v>
      </c>
      <c r="R84" s="4">
        <f t="shared" si="27"/>
        <v>7507.9317686170225</v>
      </c>
      <c r="S84" s="4">
        <f t="shared" si="24"/>
        <v>90095.181223404288</v>
      </c>
    </row>
    <row r="85" spans="2:19" ht="15" hidden="1" x14ac:dyDescent="0.35">
      <c r="C85" t="s">
        <v>92</v>
      </c>
      <c r="E85" s="16">
        <v>0.03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f t="shared" si="24"/>
        <v>0</v>
      </c>
    </row>
    <row r="86" spans="2:19" ht="15" x14ac:dyDescent="0.35">
      <c r="B86" s="5" t="s">
        <v>23</v>
      </c>
      <c r="C86" s="5"/>
      <c r="D86" s="5"/>
      <c r="E86" s="9"/>
      <c r="F86" s="6">
        <v>295174.34367021284</v>
      </c>
      <c r="G86" s="6">
        <f t="shared" ref="G86:S86" si="28">SUM(G78:G85)</f>
        <v>32400.86197251773</v>
      </c>
      <c r="H86" s="6">
        <f t="shared" si="28"/>
        <v>23037.261972517732</v>
      </c>
      <c r="I86" s="6">
        <f t="shared" si="28"/>
        <v>23037.261972517732</v>
      </c>
      <c r="J86" s="6">
        <f t="shared" si="28"/>
        <v>23037.261972517732</v>
      </c>
      <c r="K86" s="6">
        <f t="shared" si="28"/>
        <v>23037.261972517732</v>
      </c>
      <c r="L86" s="6">
        <f t="shared" si="28"/>
        <v>23037.261972517732</v>
      </c>
      <c r="M86" s="6">
        <f t="shared" si="28"/>
        <v>23037.261972517732</v>
      </c>
      <c r="N86" s="6">
        <f t="shared" si="28"/>
        <v>23037.261972517732</v>
      </c>
      <c r="O86" s="6">
        <f t="shared" si="28"/>
        <v>23037.261972517732</v>
      </c>
      <c r="P86" s="6">
        <f t="shared" si="28"/>
        <v>23037.261972517732</v>
      </c>
      <c r="Q86" s="6">
        <f t="shared" si="28"/>
        <v>23037.261972517732</v>
      </c>
      <c r="R86" s="6">
        <f t="shared" si="28"/>
        <v>32400.861972517734</v>
      </c>
      <c r="S86" s="6">
        <f t="shared" si="28"/>
        <v>295174.3436702129</v>
      </c>
    </row>
    <row r="87" spans="2:19" x14ac:dyDescent="0.2"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2:19" x14ac:dyDescent="0.2">
      <c r="B88" s="5" t="s">
        <v>26</v>
      </c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2:19" x14ac:dyDescent="0.2">
      <c r="C89" t="s">
        <v>131</v>
      </c>
      <c r="E89" s="3" t="s">
        <v>135</v>
      </c>
      <c r="F89" s="14">
        <v>78030</v>
      </c>
      <c r="G89" s="14">
        <f>+F89/12</f>
        <v>6502.5</v>
      </c>
      <c r="H89" s="14">
        <f t="shared" ref="H89:R89" si="29">+G89</f>
        <v>6502.5</v>
      </c>
      <c r="I89" s="14">
        <f t="shared" si="29"/>
        <v>6502.5</v>
      </c>
      <c r="J89" s="14">
        <f t="shared" si="29"/>
        <v>6502.5</v>
      </c>
      <c r="K89" s="14">
        <f t="shared" si="29"/>
        <v>6502.5</v>
      </c>
      <c r="L89" s="14">
        <f t="shared" si="29"/>
        <v>6502.5</v>
      </c>
      <c r="M89" s="14">
        <f t="shared" si="29"/>
        <v>6502.5</v>
      </c>
      <c r="N89" s="14">
        <f t="shared" si="29"/>
        <v>6502.5</v>
      </c>
      <c r="O89" s="14">
        <f t="shared" si="29"/>
        <v>6502.5</v>
      </c>
      <c r="P89" s="14">
        <f t="shared" si="29"/>
        <v>6502.5</v>
      </c>
      <c r="Q89" s="14">
        <f t="shared" si="29"/>
        <v>6502.5</v>
      </c>
      <c r="R89" s="14">
        <f t="shared" si="29"/>
        <v>6502.5</v>
      </c>
      <c r="S89" s="14">
        <f>SUM(G89:R89)</f>
        <v>78030</v>
      </c>
    </row>
    <row r="90" spans="2:19" hidden="1" x14ac:dyDescent="0.2">
      <c r="C90" t="s">
        <v>132</v>
      </c>
      <c r="E90" s="3" t="s">
        <v>145</v>
      </c>
      <c r="F90" s="14">
        <v>0</v>
      </c>
      <c r="S90" s="14">
        <f>SUM(G90:R90)</f>
        <v>0</v>
      </c>
    </row>
    <row r="91" spans="2:19" ht="15" hidden="1" x14ac:dyDescent="0.35">
      <c r="C91" t="s">
        <v>133</v>
      </c>
      <c r="E91" s="3" t="s">
        <v>136</v>
      </c>
      <c r="F91" s="14">
        <v>0</v>
      </c>
      <c r="S91" s="4">
        <f>SUM(G91:R91)</f>
        <v>0</v>
      </c>
    </row>
    <row r="92" spans="2:19" ht="15" x14ac:dyDescent="0.35">
      <c r="C92" t="s">
        <v>134</v>
      </c>
      <c r="E92" s="3" t="s">
        <v>135</v>
      </c>
      <c r="F92" s="4">
        <v>32460.48</v>
      </c>
      <c r="G92" s="4">
        <f>+F92/12</f>
        <v>2705.04</v>
      </c>
      <c r="H92" s="4">
        <f t="shared" ref="H92:R92" si="30">+G92</f>
        <v>2705.04</v>
      </c>
      <c r="I92" s="4">
        <f t="shared" si="30"/>
        <v>2705.04</v>
      </c>
      <c r="J92" s="4">
        <f t="shared" si="30"/>
        <v>2705.04</v>
      </c>
      <c r="K92" s="4">
        <f t="shared" si="30"/>
        <v>2705.04</v>
      </c>
      <c r="L92" s="4">
        <f t="shared" si="30"/>
        <v>2705.04</v>
      </c>
      <c r="M92" s="4">
        <f t="shared" si="30"/>
        <v>2705.04</v>
      </c>
      <c r="N92" s="4">
        <f t="shared" si="30"/>
        <v>2705.04</v>
      </c>
      <c r="O92" s="4">
        <f t="shared" si="30"/>
        <v>2705.04</v>
      </c>
      <c r="P92" s="4">
        <f t="shared" si="30"/>
        <v>2705.04</v>
      </c>
      <c r="Q92" s="4">
        <f t="shared" si="30"/>
        <v>2705.04</v>
      </c>
      <c r="R92" s="4">
        <f t="shared" si="30"/>
        <v>2705.04</v>
      </c>
      <c r="S92" s="4">
        <f>SUM(G92:R92)</f>
        <v>32460.480000000007</v>
      </c>
    </row>
    <row r="93" spans="2:19" ht="15" x14ac:dyDescent="0.35">
      <c r="D93" s="5" t="s">
        <v>27</v>
      </c>
      <c r="E93" s="9"/>
      <c r="F93" s="6">
        <v>110490.48</v>
      </c>
      <c r="G93" s="6">
        <f t="shared" ref="G93:S93" si="31">SUM(G89:G92)</f>
        <v>9207.5400000000009</v>
      </c>
      <c r="H93" s="6">
        <f t="shared" si="31"/>
        <v>9207.5400000000009</v>
      </c>
      <c r="I93" s="6">
        <f t="shared" si="31"/>
        <v>9207.5400000000009</v>
      </c>
      <c r="J93" s="6">
        <f t="shared" si="31"/>
        <v>9207.5400000000009</v>
      </c>
      <c r="K93" s="6">
        <f t="shared" si="31"/>
        <v>9207.5400000000009</v>
      </c>
      <c r="L93" s="6">
        <f t="shared" si="31"/>
        <v>9207.5400000000009</v>
      </c>
      <c r="M93" s="6">
        <f t="shared" si="31"/>
        <v>9207.5400000000009</v>
      </c>
      <c r="N93" s="6">
        <f t="shared" si="31"/>
        <v>9207.5400000000009</v>
      </c>
      <c r="O93" s="6">
        <f t="shared" si="31"/>
        <v>9207.5400000000009</v>
      </c>
      <c r="P93" s="6">
        <f t="shared" si="31"/>
        <v>9207.5400000000009</v>
      </c>
      <c r="Q93" s="6">
        <f t="shared" si="31"/>
        <v>9207.5400000000009</v>
      </c>
      <c r="R93" s="6">
        <f t="shared" si="31"/>
        <v>9207.5400000000009</v>
      </c>
      <c r="S93" s="6">
        <f t="shared" si="31"/>
        <v>110490.48000000001</v>
      </c>
    </row>
    <row r="94" spans="2:19" x14ac:dyDescent="0.2">
      <c r="C94" t="s">
        <v>7</v>
      </c>
      <c r="E94" s="13">
        <v>1.4999999999999999E-2</v>
      </c>
      <c r="F94" s="14">
        <v>1657.3571999999999</v>
      </c>
      <c r="G94" s="14">
        <f t="shared" ref="G94:R97" si="32">+$F94/$F$93*G$93</f>
        <v>138.1131</v>
      </c>
      <c r="H94" s="14">
        <f t="shared" si="32"/>
        <v>138.1131</v>
      </c>
      <c r="I94" s="14">
        <f t="shared" si="32"/>
        <v>138.1131</v>
      </c>
      <c r="J94" s="14">
        <f t="shared" si="32"/>
        <v>138.1131</v>
      </c>
      <c r="K94" s="14">
        <f t="shared" si="32"/>
        <v>138.1131</v>
      </c>
      <c r="L94" s="14">
        <f t="shared" si="32"/>
        <v>138.1131</v>
      </c>
      <c r="M94" s="14">
        <f t="shared" si="32"/>
        <v>138.1131</v>
      </c>
      <c r="N94" s="14">
        <f t="shared" si="32"/>
        <v>138.1131</v>
      </c>
      <c r="O94" s="14">
        <f t="shared" si="32"/>
        <v>138.1131</v>
      </c>
      <c r="P94" s="14">
        <f t="shared" si="32"/>
        <v>138.1131</v>
      </c>
      <c r="Q94" s="14">
        <f t="shared" si="32"/>
        <v>138.1131</v>
      </c>
      <c r="R94" s="14">
        <f t="shared" si="32"/>
        <v>138.1131</v>
      </c>
      <c r="S94" s="14">
        <f>SUM(G94:R94)</f>
        <v>1657.3572000000001</v>
      </c>
    </row>
    <row r="95" spans="2:19" x14ac:dyDescent="0.2">
      <c r="C95" t="s">
        <v>8</v>
      </c>
      <c r="E95" s="3" t="s">
        <v>52</v>
      </c>
      <c r="F95" s="14">
        <v>9019.5217199999988</v>
      </c>
      <c r="G95" s="14">
        <f t="shared" si="32"/>
        <v>751.62681000000009</v>
      </c>
      <c r="H95" s="14">
        <f t="shared" si="32"/>
        <v>751.62681000000009</v>
      </c>
      <c r="I95" s="14">
        <f t="shared" si="32"/>
        <v>751.62681000000009</v>
      </c>
      <c r="J95" s="14">
        <f t="shared" si="32"/>
        <v>751.62681000000009</v>
      </c>
      <c r="K95" s="14">
        <f t="shared" si="32"/>
        <v>751.62681000000009</v>
      </c>
      <c r="L95" s="14">
        <f t="shared" si="32"/>
        <v>751.62681000000009</v>
      </c>
      <c r="M95" s="14">
        <f t="shared" si="32"/>
        <v>751.62681000000009</v>
      </c>
      <c r="N95" s="14">
        <f t="shared" si="32"/>
        <v>751.62681000000009</v>
      </c>
      <c r="O95" s="14">
        <f t="shared" si="32"/>
        <v>751.62681000000009</v>
      </c>
      <c r="P95" s="14">
        <f t="shared" si="32"/>
        <v>751.62681000000009</v>
      </c>
      <c r="Q95" s="14">
        <f t="shared" si="32"/>
        <v>751.62681000000009</v>
      </c>
      <c r="R95" s="14">
        <f t="shared" si="32"/>
        <v>751.62681000000009</v>
      </c>
      <c r="S95" s="14">
        <f>SUM(G95:R95)</f>
        <v>9019.5217199999988</v>
      </c>
    </row>
    <row r="96" spans="2:19" x14ac:dyDescent="0.2">
      <c r="C96" t="s">
        <v>9</v>
      </c>
      <c r="E96" s="3" t="str">
        <f>CONCATENATE(ins," per month per employee")</f>
        <v>266.666666666666 per month per employee</v>
      </c>
      <c r="F96" s="14">
        <v>6242.4</v>
      </c>
      <c r="G96" s="14">
        <f t="shared" si="32"/>
        <v>520.20000000000005</v>
      </c>
      <c r="H96" s="14">
        <f t="shared" si="32"/>
        <v>520.20000000000005</v>
      </c>
      <c r="I96" s="14">
        <f t="shared" si="32"/>
        <v>520.20000000000005</v>
      </c>
      <c r="J96" s="14">
        <f t="shared" si="32"/>
        <v>520.20000000000005</v>
      </c>
      <c r="K96" s="14">
        <f t="shared" si="32"/>
        <v>520.20000000000005</v>
      </c>
      <c r="L96" s="14">
        <f t="shared" si="32"/>
        <v>520.20000000000005</v>
      </c>
      <c r="M96" s="14">
        <f t="shared" si="32"/>
        <v>520.20000000000005</v>
      </c>
      <c r="N96" s="14">
        <f t="shared" si="32"/>
        <v>520.20000000000005</v>
      </c>
      <c r="O96" s="14">
        <f t="shared" si="32"/>
        <v>520.20000000000005</v>
      </c>
      <c r="P96" s="14">
        <f t="shared" si="32"/>
        <v>520.20000000000005</v>
      </c>
      <c r="Q96" s="14">
        <f t="shared" si="32"/>
        <v>520.20000000000005</v>
      </c>
      <c r="R96" s="14">
        <f t="shared" si="32"/>
        <v>520.20000000000005</v>
      </c>
      <c r="S96" s="14">
        <f>SUM(G96:R96)</f>
        <v>6242.3999999999987</v>
      </c>
    </row>
    <row r="97" spans="2:19" ht="15" x14ac:dyDescent="0.35">
      <c r="C97" t="s">
        <v>10</v>
      </c>
      <c r="E97" s="11" t="s">
        <v>53</v>
      </c>
      <c r="F97" s="4">
        <v>1104.9048</v>
      </c>
      <c r="G97" s="4">
        <f t="shared" si="32"/>
        <v>92.075400000000016</v>
      </c>
      <c r="H97" s="4">
        <f t="shared" si="32"/>
        <v>92.075400000000016</v>
      </c>
      <c r="I97" s="4">
        <f t="shared" si="32"/>
        <v>92.075400000000016</v>
      </c>
      <c r="J97" s="4">
        <f t="shared" si="32"/>
        <v>92.075400000000016</v>
      </c>
      <c r="K97" s="4">
        <f t="shared" si="32"/>
        <v>92.075400000000016</v>
      </c>
      <c r="L97" s="4">
        <f t="shared" si="32"/>
        <v>92.075400000000016</v>
      </c>
      <c r="M97" s="4">
        <f t="shared" si="32"/>
        <v>92.075400000000016</v>
      </c>
      <c r="N97" s="4">
        <f t="shared" si="32"/>
        <v>92.075400000000016</v>
      </c>
      <c r="O97" s="4">
        <f t="shared" si="32"/>
        <v>92.075400000000016</v>
      </c>
      <c r="P97" s="4">
        <f t="shared" si="32"/>
        <v>92.075400000000016</v>
      </c>
      <c r="Q97" s="4">
        <f t="shared" si="32"/>
        <v>92.075400000000016</v>
      </c>
      <c r="R97" s="4">
        <f t="shared" si="32"/>
        <v>92.075400000000016</v>
      </c>
      <c r="S97" s="4">
        <f>SUM(G97:R97)</f>
        <v>1104.9048000000005</v>
      </c>
    </row>
    <row r="98" spans="2:19" ht="15" x14ac:dyDescent="0.35">
      <c r="D98" s="5" t="s">
        <v>28</v>
      </c>
      <c r="E98" s="9"/>
      <c r="F98" s="6">
        <v>18024.183719999997</v>
      </c>
      <c r="G98" s="6">
        <f t="shared" ref="G98:S98" si="33">SUM(G94:G97)</f>
        <v>1502.01531</v>
      </c>
      <c r="H98" s="6">
        <f t="shared" si="33"/>
        <v>1502.01531</v>
      </c>
      <c r="I98" s="6">
        <f t="shared" si="33"/>
        <v>1502.01531</v>
      </c>
      <c r="J98" s="6">
        <f t="shared" si="33"/>
        <v>1502.01531</v>
      </c>
      <c r="K98" s="6">
        <f t="shared" si="33"/>
        <v>1502.01531</v>
      </c>
      <c r="L98" s="6">
        <f t="shared" si="33"/>
        <v>1502.01531</v>
      </c>
      <c r="M98" s="6">
        <f t="shared" si="33"/>
        <v>1502.01531</v>
      </c>
      <c r="N98" s="6">
        <f t="shared" si="33"/>
        <v>1502.01531</v>
      </c>
      <c r="O98" s="6">
        <f t="shared" si="33"/>
        <v>1502.01531</v>
      </c>
      <c r="P98" s="6">
        <f t="shared" si="33"/>
        <v>1502.01531</v>
      </c>
      <c r="Q98" s="6">
        <f t="shared" si="33"/>
        <v>1502.01531</v>
      </c>
      <c r="R98" s="6">
        <f t="shared" si="33"/>
        <v>1502.01531</v>
      </c>
      <c r="S98" s="6">
        <f t="shared" si="33"/>
        <v>18024.183719999997</v>
      </c>
    </row>
    <row r="99" spans="2:19" x14ac:dyDescent="0.2">
      <c r="C99" t="s">
        <v>12</v>
      </c>
      <c r="E99" s="3" t="s">
        <v>54</v>
      </c>
      <c r="F99" s="14">
        <v>2080.8000000000002</v>
      </c>
      <c r="G99" s="14">
        <f>+F99/12</f>
        <v>173.4</v>
      </c>
      <c r="H99" s="14">
        <f t="shared" ref="H99:R99" si="34">+G99</f>
        <v>173.4</v>
      </c>
      <c r="I99" s="14">
        <f t="shared" si="34"/>
        <v>173.4</v>
      </c>
      <c r="J99" s="14">
        <f t="shared" si="34"/>
        <v>173.4</v>
      </c>
      <c r="K99" s="14">
        <f t="shared" si="34"/>
        <v>173.4</v>
      </c>
      <c r="L99" s="14">
        <f t="shared" si="34"/>
        <v>173.4</v>
      </c>
      <c r="M99" s="14">
        <f t="shared" si="34"/>
        <v>173.4</v>
      </c>
      <c r="N99" s="14">
        <f t="shared" si="34"/>
        <v>173.4</v>
      </c>
      <c r="O99" s="14">
        <f t="shared" si="34"/>
        <v>173.4</v>
      </c>
      <c r="P99" s="14">
        <f t="shared" si="34"/>
        <v>173.4</v>
      </c>
      <c r="Q99" s="14">
        <f t="shared" si="34"/>
        <v>173.4</v>
      </c>
      <c r="R99" s="14">
        <f t="shared" si="34"/>
        <v>173.4</v>
      </c>
      <c r="S99" s="14">
        <f t="shared" ref="S99:S105" si="35">SUM(G99:R99)</f>
        <v>2080.8000000000006</v>
      </c>
    </row>
    <row r="100" spans="2:19" x14ac:dyDescent="0.2">
      <c r="C100" t="s">
        <v>29</v>
      </c>
      <c r="E100" s="3" t="s">
        <v>138</v>
      </c>
      <c r="F100" s="14">
        <v>9363.6</v>
      </c>
      <c r="G100" s="14">
        <f>+F100/12</f>
        <v>780.30000000000007</v>
      </c>
      <c r="H100" s="14">
        <f t="shared" ref="H100:R100" si="36">+G100</f>
        <v>780.30000000000007</v>
      </c>
      <c r="I100" s="14">
        <f t="shared" si="36"/>
        <v>780.30000000000007</v>
      </c>
      <c r="J100" s="14">
        <f t="shared" si="36"/>
        <v>780.30000000000007</v>
      </c>
      <c r="K100" s="14">
        <f t="shared" si="36"/>
        <v>780.30000000000007</v>
      </c>
      <c r="L100" s="14">
        <f t="shared" si="36"/>
        <v>780.30000000000007</v>
      </c>
      <c r="M100" s="14">
        <f t="shared" si="36"/>
        <v>780.30000000000007</v>
      </c>
      <c r="N100" s="14">
        <f t="shared" si="36"/>
        <v>780.30000000000007</v>
      </c>
      <c r="O100" s="14">
        <f t="shared" si="36"/>
        <v>780.30000000000007</v>
      </c>
      <c r="P100" s="14">
        <f t="shared" si="36"/>
        <v>780.30000000000007</v>
      </c>
      <c r="Q100" s="14">
        <f t="shared" si="36"/>
        <v>780.30000000000007</v>
      </c>
      <c r="R100" s="14">
        <f t="shared" si="36"/>
        <v>780.30000000000007</v>
      </c>
      <c r="S100" s="14">
        <f t="shared" si="35"/>
        <v>9363.6</v>
      </c>
    </row>
    <row r="101" spans="2:19" x14ac:dyDescent="0.2">
      <c r="C101" t="s">
        <v>30</v>
      </c>
      <c r="E101" s="3" t="s">
        <v>54</v>
      </c>
      <c r="F101" s="14">
        <v>4681.8</v>
      </c>
      <c r="G101" s="14">
        <f>+F101/12</f>
        <v>390.15000000000003</v>
      </c>
      <c r="H101" s="14">
        <f t="shared" ref="H101:R101" si="37">+G101</f>
        <v>390.15000000000003</v>
      </c>
      <c r="I101" s="14">
        <f t="shared" si="37"/>
        <v>390.15000000000003</v>
      </c>
      <c r="J101" s="14">
        <f t="shared" si="37"/>
        <v>390.15000000000003</v>
      </c>
      <c r="K101" s="14">
        <f t="shared" si="37"/>
        <v>390.15000000000003</v>
      </c>
      <c r="L101" s="14">
        <f t="shared" si="37"/>
        <v>390.15000000000003</v>
      </c>
      <c r="M101" s="14">
        <f t="shared" si="37"/>
        <v>390.15000000000003</v>
      </c>
      <c r="N101" s="14">
        <f t="shared" si="37"/>
        <v>390.15000000000003</v>
      </c>
      <c r="O101" s="14">
        <f t="shared" si="37"/>
        <v>390.15000000000003</v>
      </c>
      <c r="P101" s="14">
        <f t="shared" si="37"/>
        <v>390.15000000000003</v>
      </c>
      <c r="Q101" s="14">
        <f t="shared" si="37"/>
        <v>390.15000000000003</v>
      </c>
      <c r="R101" s="14">
        <f t="shared" si="37"/>
        <v>390.15000000000003</v>
      </c>
      <c r="S101" s="14">
        <f t="shared" si="35"/>
        <v>4681.8</v>
      </c>
    </row>
    <row r="102" spans="2:19" x14ac:dyDescent="0.2">
      <c r="C102" t="s">
        <v>73</v>
      </c>
      <c r="E102" s="3" t="s">
        <v>54</v>
      </c>
      <c r="F102" s="14">
        <v>2040</v>
      </c>
      <c r="G102" s="14">
        <f>+F102/4</f>
        <v>510</v>
      </c>
      <c r="H102" s="14">
        <f>(F102-G102)/11</f>
        <v>139.09090909090909</v>
      </c>
      <c r="I102" s="14">
        <f t="shared" ref="I102:R102" si="38">+H102</f>
        <v>139.09090909090909</v>
      </c>
      <c r="J102" s="14">
        <f t="shared" si="38"/>
        <v>139.09090909090909</v>
      </c>
      <c r="K102" s="14">
        <f t="shared" si="38"/>
        <v>139.09090909090909</v>
      </c>
      <c r="L102" s="14">
        <f t="shared" si="38"/>
        <v>139.09090909090909</v>
      </c>
      <c r="M102" s="14">
        <f t="shared" si="38"/>
        <v>139.09090909090909</v>
      </c>
      <c r="N102" s="14">
        <f t="shared" si="38"/>
        <v>139.09090909090909</v>
      </c>
      <c r="O102" s="14">
        <f t="shared" si="38"/>
        <v>139.09090909090909</v>
      </c>
      <c r="P102" s="14">
        <f t="shared" si="38"/>
        <v>139.09090909090909</v>
      </c>
      <c r="Q102" s="14">
        <f t="shared" si="38"/>
        <v>139.09090909090909</v>
      </c>
      <c r="R102" s="14">
        <f t="shared" si="38"/>
        <v>139.09090909090909</v>
      </c>
      <c r="S102" s="14">
        <f t="shared" si="35"/>
        <v>2039.9999999999995</v>
      </c>
    </row>
    <row r="103" spans="2:19" x14ac:dyDescent="0.2">
      <c r="C103" t="s">
        <v>13</v>
      </c>
      <c r="E103" s="3" t="s">
        <v>54</v>
      </c>
      <c r="F103" s="14">
        <v>4681.8</v>
      </c>
      <c r="G103" s="14">
        <f>+F103/4</f>
        <v>1170.45</v>
      </c>
      <c r="H103" s="14">
        <f>(F103-G103)/11</f>
        <v>319.2136363636364</v>
      </c>
      <c r="I103" s="14">
        <f t="shared" ref="I103:R103" si="39">+H103</f>
        <v>319.2136363636364</v>
      </c>
      <c r="J103" s="14">
        <f t="shared" si="39"/>
        <v>319.2136363636364</v>
      </c>
      <c r="K103" s="14">
        <f t="shared" si="39"/>
        <v>319.2136363636364</v>
      </c>
      <c r="L103" s="14">
        <f t="shared" si="39"/>
        <v>319.2136363636364</v>
      </c>
      <c r="M103" s="14">
        <f t="shared" si="39"/>
        <v>319.2136363636364</v>
      </c>
      <c r="N103" s="14">
        <f t="shared" si="39"/>
        <v>319.2136363636364</v>
      </c>
      <c r="O103" s="14">
        <f t="shared" si="39"/>
        <v>319.2136363636364</v>
      </c>
      <c r="P103" s="14">
        <f t="shared" si="39"/>
        <v>319.2136363636364</v>
      </c>
      <c r="Q103" s="14">
        <f t="shared" si="39"/>
        <v>319.2136363636364</v>
      </c>
      <c r="R103" s="14">
        <f t="shared" si="39"/>
        <v>319.2136363636364</v>
      </c>
      <c r="S103" s="14">
        <f t="shared" si="35"/>
        <v>4681.8</v>
      </c>
    </row>
    <row r="104" spans="2:19" x14ac:dyDescent="0.2">
      <c r="C104" t="s">
        <v>15</v>
      </c>
      <c r="E104" s="3" t="s">
        <v>54</v>
      </c>
      <c r="F104" s="14">
        <v>1387.2</v>
      </c>
      <c r="G104" s="14">
        <f>+F104/4</f>
        <v>346.8</v>
      </c>
      <c r="H104" s="14">
        <f>(F104-G104)/11</f>
        <v>94.581818181818193</v>
      </c>
      <c r="I104" s="14">
        <f t="shared" ref="I104:R104" si="40">+H104</f>
        <v>94.581818181818193</v>
      </c>
      <c r="J104" s="14">
        <f t="shared" si="40"/>
        <v>94.581818181818193</v>
      </c>
      <c r="K104" s="14">
        <f t="shared" si="40"/>
        <v>94.581818181818193</v>
      </c>
      <c r="L104" s="14">
        <f t="shared" si="40"/>
        <v>94.581818181818193</v>
      </c>
      <c r="M104" s="14">
        <f t="shared" si="40"/>
        <v>94.581818181818193</v>
      </c>
      <c r="N104" s="14">
        <f t="shared" si="40"/>
        <v>94.581818181818193</v>
      </c>
      <c r="O104" s="14">
        <f t="shared" si="40"/>
        <v>94.581818181818193</v>
      </c>
      <c r="P104" s="14">
        <f t="shared" si="40"/>
        <v>94.581818181818193</v>
      </c>
      <c r="Q104" s="14">
        <f t="shared" si="40"/>
        <v>94.581818181818193</v>
      </c>
      <c r="R104" s="14">
        <f t="shared" si="40"/>
        <v>94.581818181818193</v>
      </c>
      <c r="S104" s="14">
        <f t="shared" si="35"/>
        <v>1387.2</v>
      </c>
    </row>
    <row r="105" spans="2:19" ht="15" x14ac:dyDescent="0.35">
      <c r="C105" t="s">
        <v>16</v>
      </c>
      <c r="E105" s="3" t="s">
        <v>54</v>
      </c>
      <c r="F105" s="4">
        <v>520.20000000000005</v>
      </c>
      <c r="G105" s="4">
        <f>+F105/4</f>
        <v>130.05000000000001</v>
      </c>
      <c r="H105" s="4">
        <f>(F105-G105)/11</f>
        <v>35.468181818181819</v>
      </c>
      <c r="I105" s="4">
        <f t="shared" ref="I105:R105" si="41">+H105</f>
        <v>35.468181818181819</v>
      </c>
      <c r="J105" s="4">
        <f t="shared" si="41"/>
        <v>35.468181818181819</v>
      </c>
      <c r="K105" s="4">
        <f t="shared" si="41"/>
        <v>35.468181818181819</v>
      </c>
      <c r="L105" s="4">
        <f t="shared" si="41"/>
        <v>35.468181818181819</v>
      </c>
      <c r="M105" s="4">
        <f t="shared" si="41"/>
        <v>35.468181818181819</v>
      </c>
      <c r="N105" s="4">
        <f t="shared" si="41"/>
        <v>35.468181818181819</v>
      </c>
      <c r="O105" s="4">
        <f t="shared" si="41"/>
        <v>35.468181818181819</v>
      </c>
      <c r="P105" s="4">
        <f t="shared" si="41"/>
        <v>35.468181818181819</v>
      </c>
      <c r="Q105" s="4">
        <f t="shared" si="41"/>
        <v>35.468181818181819</v>
      </c>
      <c r="R105" s="4">
        <f t="shared" si="41"/>
        <v>35.468181818181819</v>
      </c>
      <c r="S105" s="4">
        <f t="shared" si="35"/>
        <v>520.20000000000016</v>
      </c>
    </row>
    <row r="106" spans="2:19" ht="15" x14ac:dyDescent="0.35">
      <c r="B106" s="5"/>
      <c r="C106" s="5"/>
      <c r="D106" s="5" t="s">
        <v>31</v>
      </c>
      <c r="E106" s="9"/>
      <c r="F106" s="6">
        <v>24755.4</v>
      </c>
      <c r="G106" s="6">
        <f t="shared" ref="G106:S106" si="42">SUM(G99:G105)</f>
        <v>3501.1500000000005</v>
      </c>
      <c r="H106" s="6">
        <f t="shared" si="42"/>
        <v>1932.2045454545455</v>
      </c>
      <c r="I106" s="6">
        <f t="shared" si="42"/>
        <v>1932.2045454545455</v>
      </c>
      <c r="J106" s="6">
        <f t="shared" si="42"/>
        <v>1932.2045454545455</v>
      </c>
      <c r="K106" s="6">
        <f t="shared" si="42"/>
        <v>1932.2045454545455</v>
      </c>
      <c r="L106" s="6">
        <f t="shared" si="42"/>
        <v>1932.2045454545455</v>
      </c>
      <c r="M106" s="6">
        <f t="shared" si="42"/>
        <v>1932.2045454545455</v>
      </c>
      <c r="N106" s="6">
        <f t="shared" si="42"/>
        <v>1932.2045454545455</v>
      </c>
      <c r="O106" s="6">
        <f t="shared" si="42"/>
        <v>1932.2045454545455</v>
      </c>
      <c r="P106" s="6">
        <f t="shared" si="42"/>
        <v>1932.2045454545455</v>
      </c>
      <c r="Q106" s="6">
        <f t="shared" si="42"/>
        <v>1932.2045454545455</v>
      </c>
      <c r="R106" s="6">
        <f t="shared" si="42"/>
        <v>1932.2045454545455</v>
      </c>
      <c r="S106" s="6">
        <f t="shared" si="42"/>
        <v>24755.4</v>
      </c>
    </row>
    <row r="107" spans="2:19" ht="15" x14ac:dyDescent="0.35">
      <c r="B107" s="5" t="s">
        <v>32</v>
      </c>
      <c r="C107" s="5"/>
      <c r="D107" s="5"/>
      <c r="E107" s="9"/>
      <c r="F107" s="6">
        <v>153270.06371999998</v>
      </c>
      <c r="G107" s="6">
        <f t="shared" ref="G107:S107" si="43">SUM(G106,G98,G93)</f>
        <v>14210.705310000001</v>
      </c>
      <c r="H107" s="6">
        <f t="shared" si="43"/>
        <v>12641.759855454548</v>
      </c>
      <c r="I107" s="6">
        <f t="shared" si="43"/>
        <v>12641.759855454548</v>
      </c>
      <c r="J107" s="6">
        <f t="shared" si="43"/>
        <v>12641.759855454548</v>
      </c>
      <c r="K107" s="6">
        <f t="shared" si="43"/>
        <v>12641.759855454548</v>
      </c>
      <c r="L107" s="6">
        <f t="shared" si="43"/>
        <v>12641.759855454548</v>
      </c>
      <c r="M107" s="6">
        <f t="shared" si="43"/>
        <v>12641.759855454548</v>
      </c>
      <c r="N107" s="6">
        <f t="shared" si="43"/>
        <v>12641.759855454548</v>
      </c>
      <c r="O107" s="6">
        <f t="shared" si="43"/>
        <v>12641.759855454548</v>
      </c>
      <c r="P107" s="6">
        <f t="shared" si="43"/>
        <v>12641.759855454548</v>
      </c>
      <c r="Q107" s="6">
        <f t="shared" si="43"/>
        <v>12641.759855454548</v>
      </c>
      <c r="R107" s="6">
        <f t="shared" si="43"/>
        <v>12641.759855454548</v>
      </c>
      <c r="S107" s="6">
        <f t="shared" si="43"/>
        <v>153270.06372000001</v>
      </c>
    </row>
    <row r="109" spans="2:19" x14ac:dyDescent="0.2">
      <c r="B109" s="5" t="s">
        <v>50</v>
      </c>
    </row>
    <row r="110" spans="2:19" ht="15" x14ac:dyDescent="0.35">
      <c r="B110" s="5"/>
      <c r="C110" t="s">
        <v>33</v>
      </c>
      <c r="F110" s="4">
        <v>97500</v>
      </c>
      <c r="G110" s="4">
        <f>+F110/12</f>
        <v>8125</v>
      </c>
      <c r="H110" s="4">
        <f t="shared" ref="H110:R110" si="44">+G110</f>
        <v>8125</v>
      </c>
      <c r="I110" s="4">
        <f t="shared" si="44"/>
        <v>8125</v>
      </c>
      <c r="J110" s="4">
        <f t="shared" si="44"/>
        <v>8125</v>
      </c>
      <c r="K110" s="4">
        <f t="shared" si="44"/>
        <v>8125</v>
      </c>
      <c r="L110" s="4">
        <f t="shared" si="44"/>
        <v>8125</v>
      </c>
      <c r="M110" s="4">
        <f t="shared" si="44"/>
        <v>8125</v>
      </c>
      <c r="N110" s="4">
        <f t="shared" si="44"/>
        <v>8125</v>
      </c>
      <c r="O110" s="4">
        <f t="shared" si="44"/>
        <v>8125</v>
      </c>
      <c r="P110" s="4">
        <f t="shared" si="44"/>
        <v>8125</v>
      </c>
      <c r="Q110" s="4">
        <f t="shared" si="44"/>
        <v>8125</v>
      </c>
      <c r="R110" s="4">
        <f t="shared" si="44"/>
        <v>8125</v>
      </c>
      <c r="S110" s="4">
        <f>SUM(G110:R110)</f>
        <v>97500</v>
      </c>
    </row>
    <row r="111" spans="2:19" hidden="1" x14ac:dyDescent="0.2">
      <c r="B111" s="5"/>
      <c r="C111" t="s">
        <v>78</v>
      </c>
      <c r="E111" s="3" t="s">
        <v>139</v>
      </c>
      <c r="F111" s="14">
        <v>0</v>
      </c>
      <c r="G111" s="14">
        <f>+F111/4</f>
        <v>0</v>
      </c>
      <c r="H111" s="14">
        <f>+(F111-G111)/11</f>
        <v>0</v>
      </c>
      <c r="I111" s="14">
        <f t="shared" ref="I111:R111" si="45">+H111</f>
        <v>0</v>
      </c>
      <c r="J111" s="14">
        <f t="shared" si="45"/>
        <v>0</v>
      </c>
      <c r="K111" s="14">
        <f t="shared" si="45"/>
        <v>0</v>
      </c>
      <c r="L111" s="14">
        <f t="shared" si="45"/>
        <v>0</v>
      </c>
      <c r="M111" s="14">
        <f t="shared" si="45"/>
        <v>0</v>
      </c>
      <c r="N111" s="14">
        <f t="shared" si="45"/>
        <v>0</v>
      </c>
      <c r="O111" s="14">
        <f t="shared" si="45"/>
        <v>0</v>
      </c>
      <c r="P111" s="14">
        <f t="shared" si="45"/>
        <v>0</v>
      </c>
      <c r="Q111" s="14">
        <f t="shared" si="45"/>
        <v>0</v>
      </c>
      <c r="R111" s="14">
        <f t="shared" si="45"/>
        <v>0</v>
      </c>
      <c r="S111" s="14">
        <f>SUM(G111:R111)</f>
        <v>0</v>
      </c>
    </row>
    <row r="112" spans="2:19" ht="15" hidden="1" x14ac:dyDescent="0.35">
      <c r="B112" s="5"/>
      <c r="C112" t="s">
        <v>79</v>
      </c>
      <c r="E112" s="3" t="s">
        <v>54</v>
      </c>
      <c r="F112" s="4">
        <v>0</v>
      </c>
      <c r="G112" s="4">
        <f>+F112/4</f>
        <v>0</v>
      </c>
      <c r="H112" s="4">
        <f>+(F112-G112)/11</f>
        <v>0</v>
      </c>
      <c r="I112" s="4">
        <f t="shared" ref="I112:R112" si="46">+H112</f>
        <v>0</v>
      </c>
      <c r="J112" s="4">
        <f t="shared" si="46"/>
        <v>0</v>
      </c>
      <c r="K112" s="4">
        <f t="shared" si="46"/>
        <v>0</v>
      </c>
      <c r="L112" s="4">
        <f t="shared" si="46"/>
        <v>0</v>
      </c>
      <c r="M112" s="4">
        <f t="shared" si="46"/>
        <v>0</v>
      </c>
      <c r="N112" s="4">
        <f t="shared" si="46"/>
        <v>0</v>
      </c>
      <c r="O112" s="4">
        <f t="shared" si="46"/>
        <v>0</v>
      </c>
      <c r="P112" s="4">
        <f t="shared" si="46"/>
        <v>0</v>
      </c>
      <c r="Q112" s="4">
        <f t="shared" si="46"/>
        <v>0</v>
      </c>
      <c r="R112" s="4">
        <f t="shared" si="46"/>
        <v>0</v>
      </c>
      <c r="S112" s="4">
        <f>SUM(G112:R112)</f>
        <v>0</v>
      </c>
    </row>
    <row r="113" spans="2:19" ht="15" x14ac:dyDescent="0.35">
      <c r="B113" s="5" t="s">
        <v>77</v>
      </c>
      <c r="C113" s="5"/>
      <c r="D113" s="5"/>
      <c r="E113" s="9"/>
      <c r="F113" s="6">
        <v>97500</v>
      </c>
      <c r="G113" s="6">
        <f t="shared" ref="G113:S113" si="47">SUM(G110:G112)</f>
        <v>8125</v>
      </c>
      <c r="H113" s="6">
        <f t="shared" si="47"/>
        <v>8125</v>
      </c>
      <c r="I113" s="6">
        <f t="shared" si="47"/>
        <v>8125</v>
      </c>
      <c r="J113" s="6">
        <f t="shared" si="47"/>
        <v>8125</v>
      </c>
      <c r="K113" s="6">
        <f t="shared" si="47"/>
        <v>8125</v>
      </c>
      <c r="L113" s="6">
        <f t="shared" si="47"/>
        <v>8125</v>
      </c>
      <c r="M113" s="6">
        <f t="shared" si="47"/>
        <v>8125</v>
      </c>
      <c r="N113" s="6">
        <f t="shared" si="47"/>
        <v>8125</v>
      </c>
      <c r="O113" s="6">
        <f t="shared" si="47"/>
        <v>8125</v>
      </c>
      <c r="P113" s="6">
        <f t="shared" si="47"/>
        <v>8125</v>
      </c>
      <c r="Q113" s="6">
        <f t="shared" si="47"/>
        <v>8125</v>
      </c>
      <c r="R113" s="6">
        <f t="shared" si="47"/>
        <v>8125</v>
      </c>
      <c r="S113" s="6">
        <f t="shared" si="47"/>
        <v>97500</v>
      </c>
    </row>
    <row r="114" spans="2:19" hidden="1" x14ac:dyDescent="0.2"/>
    <row r="115" spans="2:19" hidden="1" x14ac:dyDescent="0.2">
      <c r="B115" s="5" t="s">
        <v>34</v>
      </c>
    </row>
    <row r="116" spans="2:19" hidden="1" x14ac:dyDescent="0.2">
      <c r="C116" t="s">
        <v>46</v>
      </c>
      <c r="E116" s="11" t="s">
        <v>85</v>
      </c>
      <c r="F116" s="14">
        <v>0</v>
      </c>
    </row>
    <row r="117" spans="2:19" ht="15" hidden="1" x14ac:dyDescent="0.35">
      <c r="C117" t="s">
        <v>47</v>
      </c>
      <c r="E117" s="11" t="s">
        <v>86</v>
      </c>
      <c r="F117" s="4">
        <v>0</v>
      </c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</row>
    <row r="118" spans="2:19" ht="15" hidden="1" x14ac:dyDescent="0.35">
      <c r="B118" s="5" t="s">
        <v>48</v>
      </c>
      <c r="C118" s="5"/>
      <c r="D118" s="5"/>
      <c r="E118" s="9"/>
      <c r="F118" s="6">
        <v>0</v>
      </c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</row>
    <row r="119" spans="2:19" ht="15" x14ac:dyDescent="0.35">
      <c r="B119" s="5"/>
      <c r="C119" s="5"/>
      <c r="D119" s="5"/>
      <c r="E119" s="9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</row>
    <row r="120" spans="2:19" x14ac:dyDescent="0.2">
      <c r="B120" s="5" t="s">
        <v>80</v>
      </c>
    </row>
    <row r="121" spans="2:19" ht="15" x14ac:dyDescent="0.35">
      <c r="C121" t="s">
        <v>147</v>
      </c>
      <c r="E121" s="3" t="s">
        <v>135</v>
      </c>
      <c r="F121" s="4">
        <v>17978.111999999997</v>
      </c>
      <c r="G121" s="4">
        <v>0</v>
      </c>
      <c r="H121" s="4">
        <f>+F121/10</f>
        <v>1797.8111999999996</v>
      </c>
      <c r="I121" s="4">
        <f t="shared" ref="I121:Q121" si="48">+H121</f>
        <v>1797.8111999999996</v>
      </c>
      <c r="J121" s="4">
        <f t="shared" si="48"/>
        <v>1797.8111999999996</v>
      </c>
      <c r="K121" s="4">
        <f t="shared" si="48"/>
        <v>1797.8111999999996</v>
      </c>
      <c r="L121" s="4">
        <f t="shared" si="48"/>
        <v>1797.8111999999996</v>
      </c>
      <c r="M121" s="4">
        <f t="shared" si="48"/>
        <v>1797.8111999999996</v>
      </c>
      <c r="N121" s="4">
        <f t="shared" si="48"/>
        <v>1797.8111999999996</v>
      </c>
      <c r="O121" s="4">
        <f t="shared" si="48"/>
        <v>1797.8111999999996</v>
      </c>
      <c r="P121" s="4">
        <f t="shared" si="48"/>
        <v>1797.8111999999996</v>
      </c>
      <c r="Q121" s="4">
        <f t="shared" si="48"/>
        <v>1797.8111999999996</v>
      </c>
      <c r="R121" s="4">
        <v>0</v>
      </c>
      <c r="S121" s="4">
        <f>SUM(G121:R121)</f>
        <v>17978.111999999997</v>
      </c>
    </row>
    <row r="122" spans="2:19" ht="15" x14ac:dyDescent="0.35">
      <c r="D122" s="5" t="s">
        <v>148</v>
      </c>
      <c r="E122" s="9"/>
      <c r="F122" s="6">
        <v>17978.111999999997</v>
      </c>
      <c r="G122" s="6">
        <f t="shared" ref="G122:S122" si="49">SUM(G121)</f>
        <v>0</v>
      </c>
      <c r="H122" s="6">
        <f t="shared" si="49"/>
        <v>1797.8111999999996</v>
      </c>
      <c r="I122" s="6">
        <f t="shared" si="49"/>
        <v>1797.8111999999996</v>
      </c>
      <c r="J122" s="6">
        <f t="shared" si="49"/>
        <v>1797.8111999999996</v>
      </c>
      <c r="K122" s="6">
        <f t="shared" si="49"/>
        <v>1797.8111999999996</v>
      </c>
      <c r="L122" s="6">
        <f t="shared" si="49"/>
        <v>1797.8111999999996</v>
      </c>
      <c r="M122" s="6">
        <f t="shared" si="49"/>
        <v>1797.8111999999996</v>
      </c>
      <c r="N122" s="6">
        <f t="shared" si="49"/>
        <v>1797.8111999999996</v>
      </c>
      <c r="O122" s="6">
        <f t="shared" si="49"/>
        <v>1797.8111999999996</v>
      </c>
      <c r="P122" s="6">
        <f t="shared" si="49"/>
        <v>1797.8111999999996</v>
      </c>
      <c r="Q122" s="6">
        <f t="shared" si="49"/>
        <v>1797.8111999999996</v>
      </c>
      <c r="R122" s="6">
        <f t="shared" si="49"/>
        <v>0</v>
      </c>
      <c r="S122" s="6">
        <f t="shared" si="49"/>
        <v>17978.111999999997</v>
      </c>
    </row>
    <row r="123" spans="2:19" x14ac:dyDescent="0.2">
      <c r="C123" t="s">
        <v>7</v>
      </c>
      <c r="E123" s="13">
        <v>1.4999999999999999E-2</v>
      </c>
      <c r="F123" s="14">
        <v>269.67167999999992</v>
      </c>
      <c r="G123" s="14">
        <f t="shared" ref="G123:R126" si="50">+$F123/$F$122*G$122</f>
        <v>0</v>
      </c>
      <c r="H123" s="14">
        <f t="shared" si="50"/>
        <v>26.96716799999999</v>
      </c>
      <c r="I123" s="14">
        <f t="shared" si="50"/>
        <v>26.96716799999999</v>
      </c>
      <c r="J123" s="14">
        <f t="shared" si="50"/>
        <v>26.96716799999999</v>
      </c>
      <c r="K123" s="14">
        <f t="shared" si="50"/>
        <v>26.96716799999999</v>
      </c>
      <c r="L123" s="14">
        <f t="shared" si="50"/>
        <v>26.96716799999999</v>
      </c>
      <c r="M123" s="14">
        <f t="shared" si="50"/>
        <v>26.96716799999999</v>
      </c>
      <c r="N123" s="14">
        <f t="shared" si="50"/>
        <v>26.96716799999999</v>
      </c>
      <c r="O123" s="14">
        <f t="shared" si="50"/>
        <v>26.96716799999999</v>
      </c>
      <c r="P123" s="14">
        <f t="shared" si="50"/>
        <v>26.96716799999999</v>
      </c>
      <c r="Q123" s="14">
        <f t="shared" si="50"/>
        <v>26.96716799999999</v>
      </c>
      <c r="R123" s="14">
        <f t="shared" si="50"/>
        <v>0</v>
      </c>
      <c r="S123" s="14">
        <f>SUM(G123:R123)</f>
        <v>269.67167999999992</v>
      </c>
    </row>
    <row r="124" spans="2:19" x14ac:dyDescent="0.2">
      <c r="C124" t="s">
        <v>8</v>
      </c>
      <c r="E124" s="3" t="s">
        <v>52</v>
      </c>
      <c r="F124" s="14">
        <v>1753.3255679999997</v>
      </c>
      <c r="G124" s="14">
        <f t="shared" si="50"/>
        <v>0</v>
      </c>
      <c r="H124" s="14">
        <f t="shared" si="50"/>
        <v>175.33255679999996</v>
      </c>
      <c r="I124" s="14">
        <f t="shared" si="50"/>
        <v>175.33255679999996</v>
      </c>
      <c r="J124" s="14">
        <f t="shared" si="50"/>
        <v>175.33255679999996</v>
      </c>
      <c r="K124" s="14">
        <f t="shared" si="50"/>
        <v>175.33255679999996</v>
      </c>
      <c r="L124" s="14">
        <f t="shared" si="50"/>
        <v>175.33255679999996</v>
      </c>
      <c r="M124" s="14">
        <f t="shared" si="50"/>
        <v>175.33255679999996</v>
      </c>
      <c r="N124" s="14">
        <f t="shared" si="50"/>
        <v>175.33255679999996</v>
      </c>
      <c r="O124" s="14">
        <f t="shared" si="50"/>
        <v>175.33255679999996</v>
      </c>
      <c r="P124" s="14">
        <f t="shared" si="50"/>
        <v>175.33255679999996</v>
      </c>
      <c r="Q124" s="14">
        <f t="shared" si="50"/>
        <v>175.33255679999996</v>
      </c>
      <c r="R124" s="14">
        <f t="shared" si="50"/>
        <v>0</v>
      </c>
      <c r="S124" s="14">
        <f>SUM(G124:R124)</f>
        <v>1753.325568</v>
      </c>
    </row>
    <row r="125" spans="2:19" hidden="1" x14ac:dyDescent="0.2">
      <c r="C125" t="s">
        <v>9</v>
      </c>
      <c r="E125" s="3" t="str">
        <f>CONCATENATE(ins," per month per employee")</f>
        <v>266.666666666666 per month per employee</v>
      </c>
      <c r="F125" s="14">
        <v>0</v>
      </c>
      <c r="G125" s="14">
        <f t="shared" si="50"/>
        <v>0</v>
      </c>
      <c r="H125" s="14">
        <f t="shared" si="50"/>
        <v>0</v>
      </c>
      <c r="I125" s="14">
        <f t="shared" si="50"/>
        <v>0</v>
      </c>
      <c r="J125" s="14">
        <f t="shared" si="50"/>
        <v>0</v>
      </c>
      <c r="K125" s="14">
        <f t="shared" si="50"/>
        <v>0</v>
      </c>
      <c r="L125" s="14">
        <f t="shared" si="50"/>
        <v>0</v>
      </c>
      <c r="M125" s="14">
        <f t="shared" si="50"/>
        <v>0</v>
      </c>
      <c r="N125" s="14">
        <f t="shared" si="50"/>
        <v>0</v>
      </c>
      <c r="O125" s="14">
        <f t="shared" si="50"/>
        <v>0</v>
      </c>
      <c r="P125" s="14">
        <f t="shared" si="50"/>
        <v>0</v>
      </c>
      <c r="Q125" s="14">
        <f t="shared" si="50"/>
        <v>0</v>
      </c>
      <c r="R125" s="14">
        <f t="shared" si="50"/>
        <v>0</v>
      </c>
      <c r="S125" s="14">
        <f>SUM(G125:R125)</f>
        <v>0</v>
      </c>
    </row>
    <row r="126" spans="2:19" ht="15" x14ac:dyDescent="0.35">
      <c r="C126" t="s">
        <v>10</v>
      </c>
      <c r="E126" s="11" t="s">
        <v>53</v>
      </c>
      <c r="F126" s="4">
        <v>179.78111999999999</v>
      </c>
      <c r="G126" s="4">
        <f t="shared" si="50"/>
        <v>0</v>
      </c>
      <c r="H126" s="4">
        <f t="shared" si="50"/>
        <v>17.978111999999996</v>
      </c>
      <c r="I126" s="4">
        <f t="shared" si="50"/>
        <v>17.978111999999996</v>
      </c>
      <c r="J126" s="4">
        <f t="shared" si="50"/>
        <v>17.978111999999996</v>
      </c>
      <c r="K126" s="4">
        <f t="shared" si="50"/>
        <v>17.978111999999996</v>
      </c>
      <c r="L126" s="4">
        <f t="shared" si="50"/>
        <v>17.978111999999996</v>
      </c>
      <c r="M126" s="4">
        <f t="shared" si="50"/>
        <v>17.978111999999996</v>
      </c>
      <c r="N126" s="4">
        <f t="shared" si="50"/>
        <v>17.978111999999996</v>
      </c>
      <c r="O126" s="4">
        <f t="shared" si="50"/>
        <v>17.978111999999996</v>
      </c>
      <c r="P126" s="4">
        <f t="shared" si="50"/>
        <v>17.978111999999996</v>
      </c>
      <c r="Q126" s="4">
        <f t="shared" si="50"/>
        <v>17.978111999999996</v>
      </c>
      <c r="R126" s="4">
        <f t="shared" si="50"/>
        <v>0</v>
      </c>
      <c r="S126" s="4">
        <f>SUM(G126:R126)</f>
        <v>179.78111999999999</v>
      </c>
    </row>
    <row r="127" spans="2:19" ht="15" x14ac:dyDescent="0.35">
      <c r="D127" s="5" t="s">
        <v>149</v>
      </c>
      <c r="E127" s="9"/>
      <c r="F127" s="6">
        <v>2202.7783679999998</v>
      </c>
      <c r="G127" s="6">
        <f t="shared" ref="G127:S127" si="51">SUM(G123:G126)</f>
        <v>0</v>
      </c>
      <c r="H127" s="6">
        <f t="shared" si="51"/>
        <v>220.27783679999993</v>
      </c>
      <c r="I127" s="6">
        <f t="shared" si="51"/>
        <v>220.27783679999993</v>
      </c>
      <c r="J127" s="6">
        <f t="shared" si="51"/>
        <v>220.27783679999993</v>
      </c>
      <c r="K127" s="6">
        <f t="shared" si="51"/>
        <v>220.27783679999993</v>
      </c>
      <c r="L127" s="6">
        <f t="shared" si="51"/>
        <v>220.27783679999993</v>
      </c>
      <c r="M127" s="6">
        <f t="shared" si="51"/>
        <v>220.27783679999993</v>
      </c>
      <c r="N127" s="6">
        <f t="shared" si="51"/>
        <v>220.27783679999993</v>
      </c>
      <c r="O127" s="6">
        <f t="shared" si="51"/>
        <v>220.27783679999993</v>
      </c>
      <c r="P127" s="6">
        <f t="shared" si="51"/>
        <v>220.27783679999993</v>
      </c>
      <c r="Q127" s="6">
        <f t="shared" si="51"/>
        <v>220.27783679999993</v>
      </c>
      <c r="R127" s="6">
        <f t="shared" si="51"/>
        <v>0</v>
      </c>
      <c r="S127" s="6">
        <f t="shared" si="51"/>
        <v>2202.7783679999998</v>
      </c>
    </row>
    <row r="128" spans="2:19" ht="15" x14ac:dyDescent="0.35">
      <c r="B128" s="5"/>
      <c r="C128" t="s">
        <v>11</v>
      </c>
      <c r="F128" s="4">
        <v>49439.808000000005</v>
      </c>
      <c r="G128" s="4">
        <f>1.1*180*G7*0.8</f>
        <v>0</v>
      </c>
      <c r="H128" s="4">
        <f>+F128/10</f>
        <v>4943.9808000000003</v>
      </c>
      <c r="I128" s="4">
        <f t="shared" ref="I128:Q128" si="52">+H128</f>
        <v>4943.9808000000003</v>
      </c>
      <c r="J128" s="4">
        <f t="shared" si="52"/>
        <v>4943.9808000000003</v>
      </c>
      <c r="K128" s="4">
        <f t="shared" si="52"/>
        <v>4943.9808000000003</v>
      </c>
      <c r="L128" s="4">
        <f t="shared" si="52"/>
        <v>4943.9808000000003</v>
      </c>
      <c r="M128" s="4">
        <f t="shared" si="52"/>
        <v>4943.9808000000003</v>
      </c>
      <c r="N128" s="4">
        <f t="shared" si="52"/>
        <v>4943.9808000000003</v>
      </c>
      <c r="O128" s="4">
        <f t="shared" si="52"/>
        <v>4943.9808000000003</v>
      </c>
      <c r="P128" s="4">
        <f t="shared" si="52"/>
        <v>4943.9808000000003</v>
      </c>
      <c r="Q128" s="4">
        <f t="shared" si="52"/>
        <v>4943.9808000000003</v>
      </c>
      <c r="R128" s="4">
        <v>0</v>
      </c>
      <c r="S128" s="4">
        <f>SUM(G128:R128)</f>
        <v>49439.807999999997</v>
      </c>
    </row>
    <row r="129" spans="2:19" ht="15" x14ac:dyDescent="0.35">
      <c r="D129" s="5" t="s">
        <v>150</v>
      </c>
      <c r="E129" s="9"/>
      <c r="F129" s="6">
        <v>49439.808000000005</v>
      </c>
      <c r="G129" s="6">
        <f t="shared" ref="G129:S129" si="53">SUM(G128)</f>
        <v>0</v>
      </c>
      <c r="H129" s="6">
        <f t="shared" si="53"/>
        <v>4943.9808000000003</v>
      </c>
      <c r="I129" s="6">
        <f t="shared" si="53"/>
        <v>4943.9808000000003</v>
      </c>
      <c r="J129" s="6">
        <f t="shared" si="53"/>
        <v>4943.9808000000003</v>
      </c>
      <c r="K129" s="6">
        <f t="shared" si="53"/>
        <v>4943.9808000000003</v>
      </c>
      <c r="L129" s="6">
        <f t="shared" si="53"/>
        <v>4943.9808000000003</v>
      </c>
      <c r="M129" s="6">
        <f t="shared" si="53"/>
        <v>4943.9808000000003</v>
      </c>
      <c r="N129" s="6">
        <f t="shared" si="53"/>
        <v>4943.9808000000003</v>
      </c>
      <c r="O129" s="6">
        <f t="shared" si="53"/>
        <v>4943.9808000000003</v>
      </c>
      <c r="P129" s="6">
        <f t="shared" si="53"/>
        <v>4943.9808000000003</v>
      </c>
      <c r="Q129" s="6">
        <f t="shared" si="53"/>
        <v>4943.9808000000003</v>
      </c>
      <c r="R129" s="6">
        <f t="shared" si="53"/>
        <v>0</v>
      </c>
      <c r="S129" s="6">
        <f t="shared" si="53"/>
        <v>49439.807999999997</v>
      </c>
    </row>
    <row r="130" spans="2:19" ht="15" x14ac:dyDescent="0.35">
      <c r="B130" s="5" t="s">
        <v>151</v>
      </c>
      <c r="C130" s="5"/>
      <c r="D130" s="5"/>
      <c r="E130" s="3" t="s">
        <v>141</v>
      </c>
      <c r="F130" s="6">
        <v>69620.698367999998</v>
      </c>
      <c r="G130" s="6">
        <f t="shared" ref="G130:S130" si="54">+G122+G127+G129</f>
        <v>0</v>
      </c>
      <c r="H130" s="6">
        <f t="shared" si="54"/>
        <v>6962.0698367999994</v>
      </c>
      <c r="I130" s="6">
        <f t="shared" si="54"/>
        <v>6962.0698367999994</v>
      </c>
      <c r="J130" s="6">
        <f t="shared" si="54"/>
        <v>6962.0698367999994</v>
      </c>
      <c r="K130" s="6">
        <f t="shared" si="54"/>
        <v>6962.0698367999994</v>
      </c>
      <c r="L130" s="6">
        <f t="shared" si="54"/>
        <v>6962.0698367999994</v>
      </c>
      <c r="M130" s="6">
        <f t="shared" si="54"/>
        <v>6962.0698367999994</v>
      </c>
      <c r="N130" s="6">
        <f t="shared" si="54"/>
        <v>6962.0698367999994</v>
      </c>
      <c r="O130" s="6">
        <f t="shared" si="54"/>
        <v>6962.0698367999994</v>
      </c>
      <c r="P130" s="6">
        <f t="shared" si="54"/>
        <v>6962.0698367999994</v>
      </c>
      <c r="Q130" s="6">
        <f t="shared" si="54"/>
        <v>6962.0698367999994</v>
      </c>
      <c r="R130" s="6">
        <f t="shared" si="54"/>
        <v>0</v>
      </c>
      <c r="S130" s="6">
        <f t="shared" si="54"/>
        <v>69620.698367999998</v>
      </c>
    </row>
    <row r="132" spans="2:19" x14ac:dyDescent="0.2">
      <c r="B132" s="5" t="s">
        <v>35</v>
      </c>
    </row>
    <row r="133" spans="2:19" ht="15" x14ac:dyDescent="0.35">
      <c r="C133" s="5" t="s">
        <v>11</v>
      </c>
      <c r="D133" s="5"/>
      <c r="E133" s="3" t="s">
        <v>108</v>
      </c>
      <c r="F133" s="6">
        <v>94221.225000000006</v>
      </c>
      <c r="G133" s="6">
        <v>0</v>
      </c>
      <c r="H133" s="6">
        <f>+F133/10</f>
        <v>9422.1225000000013</v>
      </c>
      <c r="I133" s="6">
        <f t="shared" ref="I133:Q133" si="55">+H133</f>
        <v>9422.1225000000013</v>
      </c>
      <c r="J133" s="6">
        <f t="shared" si="55"/>
        <v>9422.1225000000013</v>
      </c>
      <c r="K133" s="6">
        <f t="shared" si="55"/>
        <v>9422.1225000000013</v>
      </c>
      <c r="L133" s="6">
        <f t="shared" si="55"/>
        <v>9422.1225000000013</v>
      </c>
      <c r="M133" s="6">
        <f t="shared" si="55"/>
        <v>9422.1225000000013</v>
      </c>
      <c r="N133" s="6">
        <f t="shared" si="55"/>
        <v>9422.1225000000013</v>
      </c>
      <c r="O133" s="6">
        <f t="shared" si="55"/>
        <v>9422.1225000000013</v>
      </c>
      <c r="P133" s="6">
        <f t="shared" si="55"/>
        <v>9422.1225000000013</v>
      </c>
      <c r="Q133" s="6">
        <f t="shared" si="55"/>
        <v>9422.1225000000013</v>
      </c>
      <c r="R133" s="6">
        <v>0</v>
      </c>
      <c r="S133" s="6">
        <f>SUM(G133:R133)</f>
        <v>94221.224999999991</v>
      </c>
    </row>
    <row r="135" spans="2:19" x14ac:dyDescent="0.2">
      <c r="B135" s="5" t="s">
        <v>36</v>
      </c>
    </row>
    <row r="136" spans="2:19" ht="15" x14ac:dyDescent="0.35">
      <c r="C136" t="s">
        <v>152</v>
      </c>
      <c r="E136" s="3" t="s">
        <v>135</v>
      </c>
      <c r="F136" s="4">
        <v>36414</v>
      </c>
      <c r="G136" s="4">
        <f>+F136/12</f>
        <v>3034.5</v>
      </c>
      <c r="H136" s="4">
        <f t="shared" ref="H136:R136" si="56">+G136</f>
        <v>3034.5</v>
      </c>
      <c r="I136" s="4">
        <f t="shared" si="56"/>
        <v>3034.5</v>
      </c>
      <c r="J136" s="4">
        <f t="shared" si="56"/>
        <v>3034.5</v>
      </c>
      <c r="K136" s="4">
        <f t="shared" si="56"/>
        <v>3034.5</v>
      </c>
      <c r="L136" s="4">
        <f t="shared" si="56"/>
        <v>3034.5</v>
      </c>
      <c r="M136" s="4">
        <f t="shared" si="56"/>
        <v>3034.5</v>
      </c>
      <c r="N136" s="4">
        <f t="shared" si="56"/>
        <v>3034.5</v>
      </c>
      <c r="O136" s="4">
        <f t="shared" si="56"/>
        <v>3034.5</v>
      </c>
      <c r="P136" s="4">
        <f t="shared" si="56"/>
        <v>3034.5</v>
      </c>
      <c r="Q136" s="4">
        <f t="shared" si="56"/>
        <v>3034.5</v>
      </c>
      <c r="R136" s="4">
        <f t="shared" si="56"/>
        <v>3034.5</v>
      </c>
      <c r="S136" s="4">
        <f>SUM(G136:R136)</f>
        <v>36414</v>
      </c>
    </row>
    <row r="137" spans="2:19" ht="15" x14ac:dyDescent="0.35">
      <c r="D137" s="5" t="s">
        <v>153</v>
      </c>
      <c r="E137" s="9"/>
      <c r="F137" s="6">
        <v>36414</v>
      </c>
      <c r="G137" s="6">
        <f t="shared" ref="G137:S137" si="57">SUM(G136)</f>
        <v>3034.5</v>
      </c>
      <c r="H137" s="6">
        <f t="shared" si="57"/>
        <v>3034.5</v>
      </c>
      <c r="I137" s="6">
        <f t="shared" si="57"/>
        <v>3034.5</v>
      </c>
      <c r="J137" s="6">
        <f t="shared" si="57"/>
        <v>3034.5</v>
      </c>
      <c r="K137" s="6">
        <f t="shared" si="57"/>
        <v>3034.5</v>
      </c>
      <c r="L137" s="6">
        <f t="shared" si="57"/>
        <v>3034.5</v>
      </c>
      <c r="M137" s="6">
        <f t="shared" si="57"/>
        <v>3034.5</v>
      </c>
      <c r="N137" s="6">
        <f t="shared" si="57"/>
        <v>3034.5</v>
      </c>
      <c r="O137" s="6">
        <f t="shared" si="57"/>
        <v>3034.5</v>
      </c>
      <c r="P137" s="6">
        <f t="shared" si="57"/>
        <v>3034.5</v>
      </c>
      <c r="Q137" s="6">
        <f t="shared" si="57"/>
        <v>3034.5</v>
      </c>
      <c r="R137" s="6">
        <f t="shared" si="57"/>
        <v>3034.5</v>
      </c>
      <c r="S137" s="6">
        <f t="shared" si="57"/>
        <v>36414</v>
      </c>
    </row>
    <row r="138" spans="2:19" x14ac:dyDescent="0.2">
      <c r="C138" t="s">
        <v>7</v>
      </c>
      <c r="E138" s="13">
        <v>1.4999999999999999E-2</v>
      </c>
      <c r="F138" s="14">
        <v>546.21</v>
      </c>
      <c r="G138" s="14">
        <f t="shared" ref="G138:R141" si="58">+$F138/$F$137*G$137</f>
        <v>45.517500000000005</v>
      </c>
      <c r="H138" s="14">
        <f t="shared" si="58"/>
        <v>45.517500000000005</v>
      </c>
      <c r="I138" s="14">
        <f t="shared" si="58"/>
        <v>45.517500000000005</v>
      </c>
      <c r="J138" s="14">
        <f t="shared" si="58"/>
        <v>45.517500000000005</v>
      </c>
      <c r="K138" s="14">
        <f t="shared" si="58"/>
        <v>45.517500000000005</v>
      </c>
      <c r="L138" s="14">
        <f t="shared" si="58"/>
        <v>45.517500000000005</v>
      </c>
      <c r="M138" s="14">
        <f t="shared" si="58"/>
        <v>45.517500000000005</v>
      </c>
      <c r="N138" s="14">
        <f t="shared" si="58"/>
        <v>45.517500000000005</v>
      </c>
      <c r="O138" s="14">
        <f t="shared" si="58"/>
        <v>45.517500000000005</v>
      </c>
      <c r="P138" s="14">
        <f t="shared" si="58"/>
        <v>45.517500000000005</v>
      </c>
      <c r="Q138" s="14">
        <f t="shared" si="58"/>
        <v>45.517500000000005</v>
      </c>
      <c r="R138" s="14">
        <f t="shared" si="58"/>
        <v>45.517500000000005</v>
      </c>
      <c r="S138" s="14">
        <f>SUM(G138:R138)</f>
        <v>546.20999999999992</v>
      </c>
    </row>
    <row r="139" spans="2:19" x14ac:dyDescent="0.2">
      <c r="C139" t="s">
        <v>8</v>
      </c>
      <c r="E139" s="3" t="s">
        <v>52</v>
      </c>
      <c r="F139" s="14">
        <v>3163.6709999999998</v>
      </c>
      <c r="G139" s="14">
        <f t="shared" si="58"/>
        <v>263.63924999999995</v>
      </c>
      <c r="H139" s="14">
        <f t="shared" si="58"/>
        <v>263.63924999999995</v>
      </c>
      <c r="I139" s="14">
        <f t="shared" si="58"/>
        <v>263.63924999999995</v>
      </c>
      <c r="J139" s="14">
        <f t="shared" si="58"/>
        <v>263.63924999999995</v>
      </c>
      <c r="K139" s="14">
        <f t="shared" si="58"/>
        <v>263.63924999999995</v>
      </c>
      <c r="L139" s="14">
        <f t="shared" si="58"/>
        <v>263.63924999999995</v>
      </c>
      <c r="M139" s="14">
        <f t="shared" si="58"/>
        <v>263.63924999999995</v>
      </c>
      <c r="N139" s="14">
        <f t="shared" si="58"/>
        <v>263.63924999999995</v>
      </c>
      <c r="O139" s="14">
        <f t="shared" si="58"/>
        <v>263.63924999999995</v>
      </c>
      <c r="P139" s="14">
        <f t="shared" si="58"/>
        <v>263.63924999999995</v>
      </c>
      <c r="Q139" s="14">
        <f t="shared" si="58"/>
        <v>263.63924999999995</v>
      </c>
      <c r="R139" s="14">
        <f t="shared" si="58"/>
        <v>263.63924999999995</v>
      </c>
      <c r="S139" s="14">
        <f>SUM(G139:R139)</f>
        <v>3163.6710000000003</v>
      </c>
    </row>
    <row r="140" spans="2:19" x14ac:dyDescent="0.2">
      <c r="C140" t="s">
        <v>9</v>
      </c>
      <c r="E140" s="3" t="str">
        <f>CONCATENATE(ins," per month per employee")</f>
        <v>266.666666666666 per month per employee</v>
      </c>
      <c r="F140" s="14">
        <v>3121.2</v>
      </c>
      <c r="G140" s="14">
        <f t="shared" si="58"/>
        <v>260.10000000000002</v>
      </c>
      <c r="H140" s="14">
        <f t="shared" si="58"/>
        <v>260.10000000000002</v>
      </c>
      <c r="I140" s="14">
        <f t="shared" si="58"/>
        <v>260.10000000000002</v>
      </c>
      <c r="J140" s="14">
        <f t="shared" si="58"/>
        <v>260.10000000000002</v>
      </c>
      <c r="K140" s="14">
        <f t="shared" si="58"/>
        <v>260.10000000000002</v>
      </c>
      <c r="L140" s="14">
        <f t="shared" si="58"/>
        <v>260.10000000000002</v>
      </c>
      <c r="M140" s="14">
        <f t="shared" si="58"/>
        <v>260.10000000000002</v>
      </c>
      <c r="N140" s="14">
        <f t="shared" si="58"/>
        <v>260.10000000000002</v>
      </c>
      <c r="O140" s="14">
        <f t="shared" si="58"/>
        <v>260.10000000000002</v>
      </c>
      <c r="P140" s="14">
        <f t="shared" si="58"/>
        <v>260.10000000000002</v>
      </c>
      <c r="Q140" s="14">
        <f t="shared" si="58"/>
        <v>260.10000000000002</v>
      </c>
      <c r="R140" s="14">
        <f t="shared" si="58"/>
        <v>260.10000000000002</v>
      </c>
      <c r="S140" s="14">
        <f>SUM(G140:R140)</f>
        <v>3121.1999999999994</v>
      </c>
    </row>
    <row r="141" spans="2:19" ht="15" x14ac:dyDescent="0.35">
      <c r="C141" t="s">
        <v>10</v>
      </c>
      <c r="E141" s="11" t="s">
        <v>53</v>
      </c>
      <c r="F141" s="4">
        <v>364.14</v>
      </c>
      <c r="G141" s="4">
        <f t="shared" si="58"/>
        <v>30.344999999999999</v>
      </c>
      <c r="H141" s="4">
        <f t="shared" si="58"/>
        <v>30.344999999999999</v>
      </c>
      <c r="I141" s="4">
        <f t="shared" si="58"/>
        <v>30.344999999999999</v>
      </c>
      <c r="J141" s="4">
        <f t="shared" si="58"/>
        <v>30.344999999999999</v>
      </c>
      <c r="K141" s="4">
        <f t="shared" si="58"/>
        <v>30.344999999999999</v>
      </c>
      <c r="L141" s="4">
        <f t="shared" si="58"/>
        <v>30.344999999999999</v>
      </c>
      <c r="M141" s="4">
        <f t="shared" si="58"/>
        <v>30.344999999999999</v>
      </c>
      <c r="N141" s="4">
        <f t="shared" si="58"/>
        <v>30.344999999999999</v>
      </c>
      <c r="O141" s="4">
        <f t="shared" si="58"/>
        <v>30.344999999999999</v>
      </c>
      <c r="P141" s="4">
        <f t="shared" si="58"/>
        <v>30.344999999999999</v>
      </c>
      <c r="Q141" s="4">
        <f t="shared" si="58"/>
        <v>30.344999999999999</v>
      </c>
      <c r="R141" s="4">
        <f t="shared" si="58"/>
        <v>30.344999999999999</v>
      </c>
      <c r="S141" s="4">
        <f>SUM(G141:R141)</f>
        <v>364.1400000000001</v>
      </c>
    </row>
    <row r="142" spans="2:19" ht="15" x14ac:dyDescent="0.35">
      <c r="D142" s="5" t="s">
        <v>154</v>
      </c>
      <c r="E142" s="9"/>
      <c r="F142" s="6">
        <v>7195.2210000000005</v>
      </c>
      <c r="G142" s="6">
        <f t="shared" ref="G142:S142" si="59">SUM(G138:G141)</f>
        <v>599.60175000000004</v>
      </c>
      <c r="H142" s="6">
        <f t="shared" si="59"/>
        <v>599.60175000000004</v>
      </c>
      <c r="I142" s="6">
        <f t="shared" si="59"/>
        <v>599.60175000000004</v>
      </c>
      <c r="J142" s="6">
        <f t="shared" si="59"/>
        <v>599.60175000000004</v>
      </c>
      <c r="K142" s="6">
        <f t="shared" si="59"/>
        <v>599.60175000000004</v>
      </c>
      <c r="L142" s="6">
        <f t="shared" si="59"/>
        <v>599.60175000000004</v>
      </c>
      <c r="M142" s="6">
        <f t="shared" si="59"/>
        <v>599.60175000000004</v>
      </c>
      <c r="N142" s="6">
        <f t="shared" si="59"/>
        <v>599.60175000000004</v>
      </c>
      <c r="O142" s="6">
        <f t="shared" si="59"/>
        <v>599.60175000000004</v>
      </c>
      <c r="P142" s="6">
        <f t="shared" si="59"/>
        <v>599.60175000000004</v>
      </c>
      <c r="Q142" s="6">
        <f t="shared" si="59"/>
        <v>599.60175000000004</v>
      </c>
      <c r="R142" s="6">
        <f t="shared" si="59"/>
        <v>599.60175000000004</v>
      </c>
      <c r="S142" s="6">
        <f t="shared" si="59"/>
        <v>7195.2210000000005</v>
      </c>
    </row>
    <row r="143" spans="2:19" x14ac:dyDescent="0.2">
      <c r="C143" t="s">
        <v>11</v>
      </c>
      <c r="F143" s="14">
        <v>1248.48</v>
      </c>
      <c r="G143" s="14">
        <f>+F143/12</f>
        <v>104.04</v>
      </c>
      <c r="H143" s="14">
        <f t="shared" ref="H143:R143" si="60">+G143</f>
        <v>104.04</v>
      </c>
      <c r="I143" s="14">
        <f t="shared" si="60"/>
        <v>104.04</v>
      </c>
      <c r="J143" s="14">
        <f t="shared" si="60"/>
        <v>104.04</v>
      </c>
      <c r="K143" s="14">
        <f t="shared" si="60"/>
        <v>104.04</v>
      </c>
      <c r="L143" s="14">
        <f t="shared" si="60"/>
        <v>104.04</v>
      </c>
      <c r="M143" s="14">
        <f t="shared" si="60"/>
        <v>104.04</v>
      </c>
      <c r="N143" s="14">
        <f t="shared" si="60"/>
        <v>104.04</v>
      </c>
      <c r="O143" s="14">
        <f t="shared" si="60"/>
        <v>104.04</v>
      </c>
      <c r="P143" s="14">
        <f t="shared" si="60"/>
        <v>104.04</v>
      </c>
      <c r="Q143" s="14">
        <f t="shared" si="60"/>
        <v>104.04</v>
      </c>
      <c r="R143" s="14">
        <f t="shared" si="60"/>
        <v>104.04</v>
      </c>
      <c r="S143" s="14">
        <f t="shared" ref="S143:S148" si="61">SUM(G143:R143)</f>
        <v>1248.4799999999998</v>
      </c>
    </row>
    <row r="144" spans="2:19" x14ac:dyDescent="0.2">
      <c r="C144" t="s">
        <v>21</v>
      </c>
      <c r="F144" s="14">
        <v>3121.2</v>
      </c>
      <c r="G144" s="14">
        <f>+F144</f>
        <v>3121.2</v>
      </c>
      <c r="H144" s="14">
        <v>0</v>
      </c>
      <c r="I144" s="14">
        <f t="shared" ref="I144:R144" si="62">+H144</f>
        <v>0</v>
      </c>
      <c r="J144" s="14">
        <f t="shared" si="62"/>
        <v>0</v>
      </c>
      <c r="K144" s="14">
        <f t="shared" si="62"/>
        <v>0</v>
      </c>
      <c r="L144" s="14">
        <f t="shared" si="62"/>
        <v>0</v>
      </c>
      <c r="M144" s="14">
        <f t="shared" si="62"/>
        <v>0</v>
      </c>
      <c r="N144" s="14">
        <f t="shared" si="62"/>
        <v>0</v>
      </c>
      <c r="O144" s="14">
        <f t="shared" si="62"/>
        <v>0</v>
      </c>
      <c r="P144" s="14">
        <f t="shared" si="62"/>
        <v>0</v>
      </c>
      <c r="Q144" s="14">
        <f t="shared" si="62"/>
        <v>0</v>
      </c>
      <c r="R144" s="14">
        <f t="shared" si="62"/>
        <v>0</v>
      </c>
      <c r="S144" s="14">
        <f t="shared" si="61"/>
        <v>3121.2</v>
      </c>
    </row>
    <row r="145" spans="1:19" x14ac:dyDescent="0.2">
      <c r="C145" t="s">
        <v>37</v>
      </c>
      <c r="F145" s="14">
        <v>4993.92</v>
      </c>
      <c r="G145" s="14">
        <f>+F145/12</f>
        <v>416.16</v>
      </c>
      <c r="H145" s="14">
        <f>+G145</f>
        <v>416.16</v>
      </c>
      <c r="I145" s="14">
        <f t="shared" ref="I145:R145" si="63">+H145</f>
        <v>416.16</v>
      </c>
      <c r="J145" s="14">
        <f t="shared" si="63"/>
        <v>416.16</v>
      </c>
      <c r="K145" s="14">
        <f t="shared" si="63"/>
        <v>416.16</v>
      </c>
      <c r="L145" s="14">
        <f t="shared" si="63"/>
        <v>416.16</v>
      </c>
      <c r="M145" s="14">
        <f t="shared" si="63"/>
        <v>416.16</v>
      </c>
      <c r="N145" s="14">
        <f t="shared" si="63"/>
        <v>416.16</v>
      </c>
      <c r="O145" s="14">
        <f t="shared" si="63"/>
        <v>416.16</v>
      </c>
      <c r="P145" s="14">
        <f t="shared" si="63"/>
        <v>416.16</v>
      </c>
      <c r="Q145" s="14">
        <f t="shared" si="63"/>
        <v>416.16</v>
      </c>
      <c r="R145" s="14">
        <f t="shared" si="63"/>
        <v>416.16</v>
      </c>
      <c r="S145" s="14">
        <f t="shared" si="61"/>
        <v>4993.9199999999992</v>
      </c>
    </row>
    <row r="146" spans="1:19" x14ac:dyDescent="0.2">
      <c r="C146" t="s">
        <v>38</v>
      </c>
      <c r="F146" s="14">
        <v>16000.893465045596</v>
      </c>
      <c r="G146" s="14">
        <f>+F146/12</f>
        <v>1333.4077887537997</v>
      </c>
      <c r="H146" s="14">
        <f>+G146</f>
        <v>1333.4077887537997</v>
      </c>
      <c r="I146" s="14">
        <f t="shared" ref="I146:R146" si="64">+H146</f>
        <v>1333.4077887537997</v>
      </c>
      <c r="J146" s="14">
        <f t="shared" si="64"/>
        <v>1333.4077887537997</v>
      </c>
      <c r="K146" s="14">
        <f t="shared" si="64"/>
        <v>1333.4077887537997</v>
      </c>
      <c r="L146" s="14">
        <f t="shared" si="64"/>
        <v>1333.4077887537997</v>
      </c>
      <c r="M146" s="14">
        <f t="shared" si="64"/>
        <v>1333.4077887537997</v>
      </c>
      <c r="N146" s="14">
        <f t="shared" si="64"/>
        <v>1333.4077887537997</v>
      </c>
      <c r="O146" s="14">
        <f t="shared" si="64"/>
        <v>1333.4077887537997</v>
      </c>
      <c r="P146" s="14">
        <f t="shared" si="64"/>
        <v>1333.4077887537997</v>
      </c>
      <c r="Q146" s="14">
        <f t="shared" si="64"/>
        <v>1333.4077887537997</v>
      </c>
      <c r="R146" s="14">
        <f t="shared" si="64"/>
        <v>1333.4077887537997</v>
      </c>
      <c r="S146" s="14">
        <f t="shared" si="61"/>
        <v>16000.893465045599</v>
      </c>
    </row>
    <row r="147" spans="1:19" x14ac:dyDescent="0.2">
      <c r="C147" t="s">
        <v>13</v>
      </c>
      <c r="F147" s="14">
        <v>3048.1506382978723</v>
      </c>
      <c r="G147" s="14">
        <f>+F147/4</f>
        <v>762.03765957446808</v>
      </c>
      <c r="H147" s="14">
        <f>+(F147-G147)/11</f>
        <v>207.82845261121855</v>
      </c>
      <c r="I147" s="14">
        <f t="shared" ref="I147:R147" si="65">+H147</f>
        <v>207.82845261121855</v>
      </c>
      <c r="J147" s="14">
        <f t="shared" si="65"/>
        <v>207.82845261121855</v>
      </c>
      <c r="K147" s="14">
        <f t="shared" si="65"/>
        <v>207.82845261121855</v>
      </c>
      <c r="L147" s="14">
        <f t="shared" si="65"/>
        <v>207.82845261121855</v>
      </c>
      <c r="M147" s="14">
        <f t="shared" si="65"/>
        <v>207.82845261121855</v>
      </c>
      <c r="N147" s="14">
        <f t="shared" si="65"/>
        <v>207.82845261121855</v>
      </c>
      <c r="O147" s="14">
        <f t="shared" si="65"/>
        <v>207.82845261121855</v>
      </c>
      <c r="P147" s="14">
        <f t="shared" si="65"/>
        <v>207.82845261121855</v>
      </c>
      <c r="Q147" s="14">
        <f t="shared" si="65"/>
        <v>207.82845261121855</v>
      </c>
      <c r="R147" s="14">
        <f t="shared" si="65"/>
        <v>207.82845261121855</v>
      </c>
      <c r="S147" s="14">
        <f t="shared" si="61"/>
        <v>3048.1506382978719</v>
      </c>
    </row>
    <row r="148" spans="1:19" ht="15" x14ac:dyDescent="0.35">
      <c r="C148" t="s">
        <v>15</v>
      </c>
      <c r="F148" s="4">
        <v>1040.4000000000001</v>
      </c>
      <c r="G148" s="4">
        <f>+F148/4</f>
        <v>260.10000000000002</v>
      </c>
      <c r="H148" s="4">
        <f>+(F148-G148)/11</f>
        <v>70.936363636363637</v>
      </c>
      <c r="I148" s="4">
        <f t="shared" ref="I148:R148" si="66">+H148</f>
        <v>70.936363636363637</v>
      </c>
      <c r="J148" s="4">
        <f t="shared" si="66"/>
        <v>70.936363636363637</v>
      </c>
      <c r="K148" s="4">
        <f t="shared" si="66"/>
        <v>70.936363636363637</v>
      </c>
      <c r="L148" s="4">
        <f t="shared" si="66"/>
        <v>70.936363636363637</v>
      </c>
      <c r="M148" s="4">
        <f t="shared" si="66"/>
        <v>70.936363636363637</v>
      </c>
      <c r="N148" s="4">
        <f t="shared" si="66"/>
        <v>70.936363636363637</v>
      </c>
      <c r="O148" s="4">
        <f t="shared" si="66"/>
        <v>70.936363636363637</v>
      </c>
      <c r="P148" s="4">
        <f t="shared" si="66"/>
        <v>70.936363636363637</v>
      </c>
      <c r="Q148" s="4">
        <f t="shared" si="66"/>
        <v>70.936363636363637</v>
      </c>
      <c r="R148" s="4">
        <f t="shared" si="66"/>
        <v>70.936363636363637</v>
      </c>
      <c r="S148" s="4">
        <f t="shared" si="61"/>
        <v>1040.4000000000003</v>
      </c>
    </row>
    <row r="149" spans="1:19" ht="15" x14ac:dyDescent="0.35">
      <c r="D149" s="5" t="s">
        <v>155</v>
      </c>
      <c r="E149" s="9"/>
      <c r="F149" s="6">
        <v>29453.044103343473</v>
      </c>
      <c r="G149" s="6">
        <f>SUM(G143:G148)</f>
        <v>5996.945448328268</v>
      </c>
      <c r="H149" s="6">
        <f t="shared" ref="H149:N149" si="67">SUM(H143:H148)</f>
        <v>2132.372605001382</v>
      </c>
      <c r="I149" s="6">
        <f t="shared" si="67"/>
        <v>2132.372605001382</v>
      </c>
      <c r="J149" s="6">
        <f t="shared" si="67"/>
        <v>2132.372605001382</v>
      </c>
      <c r="K149" s="6">
        <f t="shared" si="67"/>
        <v>2132.372605001382</v>
      </c>
      <c r="L149" s="6">
        <f t="shared" si="67"/>
        <v>2132.372605001382</v>
      </c>
      <c r="M149" s="6">
        <f t="shared" si="67"/>
        <v>2132.372605001382</v>
      </c>
      <c r="N149" s="6">
        <f t="shared" si="67"/>
        <v>2132.372605001382</v>
      </c>
      <c r="O149" s="6">
        <f>SUM(O143:O148)</f>
        <v>2132.372605001382</v>
      </c>
      <c r="P149" s="6">
        <f>SUM(P143:P148)</f>
        <v>2132.372605001382</v>
      </c>
      <c r="Q149" s="6">
        <f>SUM(Q143:Q148)</f>
        <v>2132.372605001382</v>
      </c>
      <c r="R149" s="6">
        <f>SUM(R143:R148)</f>
        <v>2132.372605001382</v>
      </c>
      <c r="S149" s="6">
        <f>SUM(S143:S148)</f>
        <v>29453.044103343473</v>
      </c>
    </row>
    <row r="150" spans="1:19" ht="15" x14ac:dyDescent="0.35">
      <c r="A150" s="5"/>
      <c r="B150" s="5" t="s">
        <v>39</v>
      </c>
      <c r="C150" s="5"/>
      <c r="D150" s="5"/>
      <c r="E150" s="9"/>
      <c r="F150" s="6">
        <v>73062.265103343467</v>
      </c>
      <c r="G150" s="6">
        <f t="shared" ref="G150:S150" si="68">+G137+G142+G149</f>
        <v>9631.0471983282678</v>
      </c>
      <c r="H150" s="6">
        <f t="shared" si="68"/>
        <v>5766.4743550013818</v>
      </c>
      <c r="I150" s="6">
        <f t="shared" si="68"/>
        <v>5766.4743550013818</v>
      </c>
      <c r="J150" s="6">
        <f t="shared" si="68"/>
        <v>5766.4743550013818</v>
      </c>
      <c r="K150" s="6">
        <f t="shared" si="68"/>
        <v>5766.4743550013818</v>
      </c>
      <c r="L150" s="6">
        <f t="shared" si="68"/>
        <v>5766.4743550013818</v>
      </c>
      <c r="M150" s="6">
        <f t="shared" si="68"/>
        <v>5766.4743550013818</v>
      </c>
      <c r="N150" s="6">
        <f t="shared" si="68"/>
        <v>5766.4743550013818</v>
      </c>
      <c r="O150" s="6">
        <f t="shared" si="68"/>
        <v>5766.4743550013818</v>
      </c>
      <c r="P150" s="6">
        <f t="shared" si="68"/>
        <v>5766.4743550013818</v>
      </c>
      <c r="Q150" s="6">
        <f t="shared" si="68"/>
        <v>5766.4743550013818</v>
      </c>
      <c r="R150" s="6">
        <f t="shared" si="68"/>
        <v>5766.4743550013818</v>
      </c>
      <c r="S150" s="6">
        <f t="shared" si="68"/>
        <v>73062.265103343467</v>
      </c>
    </row>
    <row r="151" spans="1:19" ht="15" x14ac:dyDescent="0.35">
      <c r="A151" s="5"/>
      <c r="B151" s="5"/>
      <c r="C151" s="5"/>
      <c r="D151" s="5"/>
      <c r="E151" s="9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</row>
    <row r="152" spans="1:19" ht="15" x14ac:dyDescent="0.35">
      <c r="A152" s="5"/>
      <c r="B152" s="5" t="s">
        <v>81</v>
      </c>
      <c r="C152" s="5"/>
      <c r="D152" s="5"/>
      <c r="E152" s="9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</row>
    <row r="153" spans="1:19" x14ac:dyDescent="0.2">
      <c r="A153" s="5"/>
      <c r="B153" s="5"/>
      <c r="C153" t="s">
        <v>11</v>
      </c>
      <c r="D153" s="5"/>
      <c r="E153" s="9"/>
      <c r="F153" s="14">
        <v>1248.48</v>
      </c>
      <c r="G153" s="14">
        <f>+F153/12</f>
        <v>104.04</v>
      </c>
      <c r="H153" s="14">
        <f t="shared" ref="H153:R153" si="69">+G153</f>
        <v>104.04</v>
      </c>
      <c r="I153" s="14">
        <f t="shared" si="69"/>
        <v>104.04</v>
      </c>
      <c r="J153" s="14">
        <f t="shared" si="69"/>
        <v>104.04</v>
      </c>
      <c r="K153" s="14">
        <f t="shared" si="69"/>
        <v>104.04</v>
      </c>
      <c r="L153" s="14">
        <f t="shared" si="69"/>
        <v>104.04</v>
      </c>
      <c r="M153" s="14">
        <f t="shared" si="69"/>
        <v>104.04</v>
      </c>
      <c r="N153" s="14">
        <f t="shared" si="69"/>
        <v>104.04</v>
      </c>
      <c r="O153" s="14">
        <f t="shared" si="69"/>
        <v>104.04</v>
      </c>
      <c r="P153" s="14">
        <f t="shared" si="69"/>
        <v>104.04</v>
      </c>
      <c r="Q153" s="14">
        <f t="shared" si="69"/>
        <v>104.04</v>
      </c>
      <c r="R153" s="14">
        <f t="shared" si="69"/>
        <v>104.04</v>
      </c>
      <c r="S153" s="14">
        <f>SUM(G153:R153)</f>
        <v>1248.4799999999998</v>
      </c>
    </row>
    <row r="154" spans="1:19" ht="15" x14ac:dyDescent="0.35">
      <c r="A154" s="5"/>
      <c r="B154" s="5"/>
      <c r="C154" t="s">
        <v>13</v>
      </c>
      <c r="D154" s="5"/>
      <c r="F154" s="10">
        <v>1040.4000000000001</v>
      </c>
      <c r="G154" s="10">
        <f>+F154/4</f>
        <v>260.10000000000002</v>
      </c>
      <c r="H154" s="10">
        <f>+(F154-G154)/11</f>
        <v>70.936363636363637</v>
      </c>
      <c r="I154" s="10">
        <f t="shared" ref="I154:R154" si="70">+H154</f>
        <v>70.936363636363637</v>
      </c>
      <c r="J154" s="10">
        <f t="shared" si="70"/>
        <v>70.936363636363637</v>
      </c>
      <c r="K154" s="10">
        <f t="shared" si="70"/>
        <v>70.936363636363637</v>
      </c>
      <c r="L154" s="10">
        <f t="shared" si="70"/>
        <v>70.936363636363637</v>
      </c>
      <c r="M154" s="10">
        <f t="shared" si="70"/>
        <v>70.936363636363637</v>
      </c>
      <c r="N154" s="10">
        <f t="shared" si="70"/>
        <v>70.936363636363637</v>
      </c>
      <c r="O154" s="10">
        <f t="shared" si="70"/>
        <v>70.936363636363637</v>
      </c>
      <c r="P154" s="10">
        <f t="shared" si="70"/>
        <v>70.936363636363637</v>
      </c>
      <c r="Q154" s="10">
        <f t="shared" si="70"/>
        <v>70.936363636363637</v>
      </c>
      <c r="R154" s="10">
        <f t="shared" si="70"/>
        <v>70.936363636363637</v>
      </c>
      <c r="S154" s="10">
        <f>SUM(G154:R154)</f>
        <v>1040.4000000000003</v>
      </c>
    </row>
    <row r="155" spans="1:19" ht="15" x14ac:dyDescent="0.35">
      <c r="A155" s="5"/>
      <c r="B155" s="5" t="s">
        <v>82</v>
      </c>
      <c r="C155" s="5"/>
      <c r="D155" s="5"/>
      <c r="E155" s="9"/>
      <c r="F155" s="6">
        <v>2288.88</v>
      </c>
      <c r="G155" s="6">
        <f t="shared" ref="G155:S155" si="71">SUM(G153:G154)</f>
        <v>364.14000000000004</v>
      </c>
      <c r="H155" s="6">
        <f t="shared" si="71"/>
        <v>174.97636363636366</v>
      </c>
      <c r="I155" s="6">
        <f t="shared" si="71"/>
        <v>174.97636363636366</v>
      </c>
      <c r="J155" s="6">
        <f t="shared" si="71"/>
        <v>174.97636363636366</v>
      </c>
      <c r="K155" s="6">
        <f t="shared" si="71"/>
        <v>174.97636363636366</v>
      </c>
      <c r="L155" s="6">
        <f t="shared" si="71"/>
        <v>174.97636363636366</v>
      </c>
      <c r="M155" s="6">
        <f t="shared" si="71"/>
        <v>174.97636363636366</v>
      </c>
      <c r="N155" s="6">
        <f t="shared" si="71"/>
        <v>174.97636363636366</v>
      </c>
      <c r="O155" s="6">
        <f t="shared" si="71"/>
        <v>174.97636363636366</v>
      </c>
      <c r="P155" s="6">
        <f t="shared" si="71"/>
        <v>174.97636363636366</v>
      </c>
      <c r="Q155" s="6">
        <f t="shared" si="71"/>
        <v>174.97636363636366</v>
      </c>
      <c r="R155" s="6">
        <f t="shared" si="71"/>
        <v>174.97636363636366</v>
      </c>
      <c r="S155" s="6">
        <f t="shared" si="71"/>
        <v>2288.88</v>
      </c>
    </row>
    <row r="156" spans="1:19" x14ac:dyDescent="0.2">
      <c r="A156" s="5"/>
      <c r="B156" s="5"/>
      <c r="C156" s="5"/>
      <c r="D156" s="5"/>
      <c r="E156" s="9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</row>
    <row r="157" spans="1:19" ht="15" x14ac:dyDescent="0.35">
      <c r="A157" s="5" t="s">
        <v>40</v>
      </c>
      <c r="B157" s="5"/>
      <c r="C157" s="5"/>
      <c r="D157" s="5"/>
      <c r="E157" s="9"/>
      <c r="F157" s="6">
        <v>1841912.5077453246</v>
      </c>
      <c r="G157" s="6" t="e">
        <f t="shared" ref="G157:S157" si="72">SUM(G41,G54,G69,G72,G75,G86,G107,G113,G118,G130,G133,G150,G155)</f>
        <v>#REF!</v>
      </c>
      <c r="H157" s="6" t="e">
        <f t="shared" si="72"/>
        <v>#REF!</v>
      </c>
      <c r="I157" s="6" t="e">
        <f t="shared" si="72"/>
        <v>#REF!</v>
      </c>
      <c r="J157" s="6" t="e">
        <f t="shared" si="72"/>
        <v>#REF!</v>
      </c>
      <c r="K157" s="6" t="e">
        <f t="shared" si="72"/>
        <v>#REF!</v>
      </c>
      <c r="L157" s="6" t="e">
        <f t="shared" si="72"/>
        <v>#REF!</v>
      </c>
      <c r="M157" s="6" t="e">
        <f t="shared" si="72"/>
        <v>#REF!</v>
      </c>
      <c r="N157" s="6" t="e">
        <f t="shared" si="72"/>
        <v>#REF!</v>
      </c>
      <c r="O157" s="6" t="e">
        <f t="shared" si="72"/>
        <v>#REF!</v>
      </c>
      <c r="P157" s="6" t="e">
        <f t="shared" si="72"/>
        <v>#REF!</v>
      </c>
      <c r="Q157" s="6" t="e">
        <f t="shared" si="72"/>
        <v>#REF!</v>
      </c>
      <c r="R157" s="6" t="e">
        <f t="shared" si="72"/>
        <v>#REF!</v>
      </c>
      <c r="S157" s="6" t="e">
        <f t="shared" si="72"/>
        <v>#REF!</v>
      </c>
    </row>
    <row r="159" spans="1:19" s="5" customFormat="1" ht="15" x14ac:dyDescent="0.35">
      <c r="A159" s="5" t="s">
        <v>172</v>
      </c>
      <c r="E159" s="9"/>
      <c r="F159" s="7">
        <v>28657.516722760629</v>
      </c>
      <c r="G159" s="7" t="e">
        <f t="shared" ref="G159:S159" si="73">G10+G18-G157</f>
        <v>#REF!</v>
      </c>
      <c r="H159" s="7" t="e">
        <f t="shared" si="73"/>
        <v>#REF!</v>
      </c>
      <c r="I159" s="7" t="e">
        <f t="shared" si="73"/>
        <v>#REF!</v>
      </c>
      <c r="J159" s="7" t="e">
        <f t="shared" si="73"/>
        <v>#REF!</v>
      </c>
      <c r="K159" s="7" t="e">
        <f t="shared" si="73"/>
        <v>#REF!</v>
      </c>
      <c r="L159" s="7" t="e">
        <f t="shared" si="73"/>
        <v>#REF!</v>
      </c>
      <c r="M159" s="7" t="e">
        <f t="shared" si="73"/>
        <v>#REF!</v>
      </c>
      <c r="N159" s="7" t="e">
        <f t="shared" si="73"/>
        <v>#REF!</v>
      </c>
      <c r="O159" s="7" t="e">
        <f t="shared" si="73"/>
        <v>#REF!</v>
      </c>
      <c r="P159" s="7" t="e">
        <f t="shared" si="73"/>
        <v>#REF!</v>
      </c>
      <c r="Q159" s="7" t="e">
        <f t="shared" si="73"/>
        <v>#REF!</v>
      </c>
      <c r="R159" s="7" t="e">
        <f t="shared" si="73"/>
        <v>#REF!</v>
      </c>
      <c r="S159" s="7" t="e">
        <f t="shared" si="73"/>
        <v>#REF!</v>
      </c>
    </row>
  </sheetData>
  <phoneticPr fontId="0" type="noConversion"/>
  <printOptions horizontalCentered="1"/>
  <pageMargins left="0.25" right="0.25" top="0.5" bottom="0.5" header="0" footer="0"/>
  <pageSetup scale="67" orientation="landscape" horizontalDpi="300" verticalDpi="300"/>
  <headerFooter alignWithMargins="0"/>
  <rowBreaks count="2" manualBreakCount="2">
    <brk id="75" max="16383" man="1"/>
    <brk id="118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9"/>
  <sheetViews>
    <sheetView topLeftCell="J141" workbookViewId="0"/>
  </sheetViews>
  <sheetFormatPr defaultColWidth="8.7109375" defaultRowHeight="12.75" x14ac:dyDescent="0.2"/>
  <cols>
    <col min="1" max="3" width="2.7109375" customWidth="1"/>
    <col min="4" max="4" width="33.7109375" customWidth="1"/>
    <col min="5" max="5" width="32.7109375" style="3" hidden="1" customWidth="1"/>
    <col min="6" max="6" width="14" style="14" hidden="1" customWidth="1"/>
    <col min="7" max="8" width="12.7109375" style="14" bestFit="1" customWidth="1"/>
    <col min="9" max="15" width="12.42578125" style="14" bestFit="1" customWidth="1"/>
    <col min="16" max="17" width="12.7109375" style="14" bestFit="1" customWidth="1"/>
    <col min="18" max="18" width="12.42578125" style="14" bestFit="1" customWidth="1"/>
    <col min="19" max="19" width="14.140625" style="14" bestFit="1" customWidth="1"/>
  </cols>
  <sheetData>
    <row r="1" spans="1:19" x14ac:dyDescent="0.2">
      <c r="A1" s="19" t="s">
        <v>146</v>
      </c>
      <c r="B1" s="19"/>
      <c r="C1" s="19"/>
      <c r="D1" s="19"/>
      <c r="E1" s="19"/>
      <c r="F1" s="19"/>
      <c r="G1"/>
      <c r="H1"/>
      <c r="I1"/>
      <c r="J1"/>
      <c r="K1"/>
      <c r="L1"/>
      <c r="M1"/>
      <c r="N1"/>
      <c r="O1"/>
      <c r="P1"/>
      <c r="Q1"/>
      <c r="R1"/>
      <c r="S1"/>
    </row>
    <row r="2" spans="1:19" x14ac:dyDescent="0.2">
      <c r="A2" s="19" t="s">
        <v>186</v>
      </c>
      <c r="B2" s="19"/>
      <c r="C2" s="19"/>
      <c r="D2" s="19"/>
      <c r="E2" s="19"/>
      <c r="F2" s="19"/>
      <c r="G2"/>
      <c r="H2"/>
      <c r="I2"/>
      <c r="J2"/>
      <c r="K2"/>
      <c r="L2"/>
      <c r="M2"/>
      <c r="N2"/>
      <c r="O2"/>
      <c r="P2"/>
      <c r="Q2"/>
      <c r="R2"/>
      <c r="S2"/>
    </row>
    <row r="3" spans="1:19" x14ac:dyDescent="0.2">
      <c r="A3" s="19" t="s">
        <v>187</v>
      </c>
      <c r="B3" s="19"/>
      <c r="C3" s="19"/>
      <c r="D3" s="19"/>
      <c r="E3" s="19"/>
      <c r="F3" s="19"/>
      <c r="G3"/>
      <c r="H3"/>
      <c r="I3"/>
      <c r="J3"/>
      <c r="K3"/>
      <c r="L3"/>
      <c r="M3"/>
      <c r="N3"/>
      <c r="O3"/>
      <c r="P3"/>
      <c r="Q3"/>
      <c r="R3"/>
      <c r="S3"/>
    </row>
    <row r="4" spans="1:19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x14ac:dyDescent="0.2">
      <c r="A5" s="9"/>
      <c r="B5" s="9"/>
      <c r="C5" s="9"/>
      <c r="D5" s="9"/>
      <c r="E5" s="12" t="s">
        <v>125</v>
      </c>
      <c r="F5" s="12" t="s">
        <v>59</v>
      </c>
      <c r="G5" s="12" t="s">
        <v>173</v>
      </c>
      <c r="H5" s="12" t="s">
        <v>174</v>
      </c>
      <c r="I5" s="12" t="s">
        <v>175</v>
      </c>
      <c r="J5" s="12" t="s">
        <v>176</v>
      </c>
      <c r="K5" s="12" t="s">
        <v>177</v>
      </c>
      <c r="L5" s="12" t="s">
        <v>178</v>
      </c>
      <c r="M5" s="12" t="s">
        <v>179</v>
      </c>
      <c r="N5" s="12" t="s">
        <v>180</v>
      </c>
      <c r="O5" s="12" t="s">
        <v>181</v>
      </c>
      <c r="P5" s="12" t="s">
        <v>182</v>
      </c>
      <c r="Q5" s="12" t="s">
        <v>183</v>
      </c>
      <c r="R5" s="12" t="s">
        <v>184</v>
      </c>
      <c r="S5" s="12" t="s">
        <v>90</v>
      </c>
    </row>
    <row r="6" spans="1:19" hidden="1" x14ac:dyDescent="0.2">
      <c r="A6" s="9"/>
      <c r="B6" s="9"/>
      <c r="C6" s="9"/>
      <c r="D6" s="9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idden="1" x14ac:dyDescent="0.2">
      <c r="A7" s="5" t="s">
        <v>60</v>
      </c>
      <c r="F7" s="14" t="e">
        <f>+#REF!</f>
        <v>#REF!</v>
      </c>
    </row>
    <row r="8" spans="1:19" hidden="1" x14ac:dyDescent="0.2">
      <c r="A8" s="5"/>
    </row>
    <row r="9" spans="1:19" x14ac:dyDescent="0.2">
      <c r="A9" s="5"/>
    </row>
    <row r="10" spans="1:19" ht="15" x14ac:dyDescent="0.35">
      <c r="A10" s="5" t="s">
        <v>171</v>
      </c>
      <c r="F10" s="6" t="e">
        <f>+'Yr3 Cash Flow'!S159</f>
        <v>#REF!</v>
      </c>
      <c r="G10" s="6" t="e">
        <f>+F10</f>
        <v>#REF!</v>
      </c>
      <c r="H10" s="6" t="e">
        <f t="shared" ref="H10:R10" si="0">+G159</f>
        <v>#REF!</v>
      </c>
      <c r="I10" s="6" t="e">
        <f t="shared" si="0"/>
        <v>#REF!</v>
      </c>
      <c r="J10" s="6" t="e">
        <f t="shared" si="0"/>
        <v>#REF!</v>
      </c>
      <c r="K10" s="6" t="e">
        <f t="shared" si="0"/>
        <v>#REF!</v>
      </c>
      <c r="L10" s="6" t="e">
        <f t="shared" si="0"/>
        <v>#REF!</v>
      </c>
      <c r="M10" s="6" t="e">
        <f t="shared" si="0"/>
        <v>#REF!</v>
      </c>
      <c r="N10" s="6" t="e">
        <f t="shared" si="0"/>
        <v>#REF!</v>
      </c>
      <c r="O10" s="6" t="e">
        <f t="shared" si="0"/>
        <v>#REF!</v>
      </c>
      <c r="P10" s="6" t="e">
        <f t="shared" si="0"/>
        <v>#REF!</v>
      </c>
      <c r="Q10" s="6" t="e">
        <f t="shared" si="0"/>
        <v>#REF!</v>
      </c>
      <c r="R10" s="6" t="e">
        <f t="shared" si="0"/>
        <v>#REF!</v>
      </c>
      <c r="S10" s="6" t="e">
        <f>+G10</f>
        <v>#REF!</v>
      </c>
    </row>
    <row r="11" spans="1:19" x14ac:dyDescent="0.2"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x14ac:dyDescent="0.2">
      <c r="A12" s="5" t="s">
        <v>1</v>
      </c>
    </row>
    <row r="13" spans="1:19" x14ac:dyDescent="0.2">
      <c r="B13" t="s">
        <v>2</v>
      </c>
      <c r="E13" s="3" t="s">
        <v>51</v>
      </c>
      <c r="F13" s="14">
        <v>1837941.6969574471</v>
      </c>
      <c r="G13" s="14">
        <f>+F13/12</f>
        <v>153161.80807978727</v>
      </c>
      <c r="H13" s="14">
        <f t="shared" ref="H13:R13" si="1">+G13</f>
        <v>153161.80807978727</v>
      </c>
      <c r="I13" s="14">
        <f t="shared" si="1"/>
        <v>153161.80807978727</v>
      </c>
      <c r="J13" s="14">
        <f t="shared" si="1"/>
        <v>153161.80807978727</v>
      </c>
      <c r="K13" s="14">
        <f t="shared" si="1"/>
        <v>153161.80807978727</v>
      </c>
      <c r="L13" s="14">
        <f t="shared" si="1"/>
        <v>153161.80807978727</v>
      </c>
      <c r="M13" s="14">
        <f t="shared" si="1"/>
        <v>153161.80807978727</v>
      </c>
      <c r="N13" s="14">
        <f t="shared" si="1"/>
        <v>153161.80807978727</v>
      </c>
      <c r="O13" s="14">
        <f t="shared" si="1"/>
        <v>153161.80807978727</v>
      </c>
      <c r="P13" s="14">
        <f t="shared" si="1"/>
        <v>153161.80807978727</v>
      </c>
      <c r="Q13" s="14">
        <f t="shared" si="1"/>
        <v>153161.80807978727</v>
      </c>
      <c r="R13" s="14">
        <f t="shared" si="1"/>
        <v>153161.80807978727</v>
      </c>
      <c r="S13" s="14">
        <f>SUM(G13:R13)</f>
        <v>1837941.6969574473</v>
      </c>
    </row>
    <row r="14" spans="1:19" hidden="1" x14ac:dyDescent="0.2">
      <c r="B14" t="s">
        <v>65</v>
      </c>
      <c r="F14" s="14">
        <v>0</v>
      </c>
      <c r="G14" s="14">
        <f>+F14/4</f>
        <v>0</v>
      </c>
      <c r="H14" s="14">
        <f>(F14-G14)/11</f>
        <v>0</v>
      </c>
      <c r="I14" s="14">
        <f t="shared" ref="I14:R14" si="2">+H14</f>
        <v>0</v>
      </c>
      <c r="J14" s="14">
        <f t="shared" si="2"/>
        <v>0</v>
      </c>
      <c r="K14" s="14">
        <f t="shared" si="2"/>
        <v>0</v>
      </c>
      <c r="L14" s="14">
        <f t="shared" si="2"/>
        <v>0</v>
      </c>
      <c r="M14" s="14">
        <f t="shared" si="2"/>
        <v>0</v>
      </c>
      <c r="N14" s="14">
        <f t="shared" si="2"/>
        <v>0</v>
      </c>
      <c r="O14" s="14">
        <f t="shared" si="2"/>
        <v>0</v>
      </c>
      <c r="P14" s="14">
        <f t="shared" si="2"/>
        <v>0</v>
      </c>
      <c r="Q14" s="14">
        <f t="shared" si="2"/>
        <v>0</v>
      </c>
      <c r="R14" s="14">
        <f t="shared" si="2"/>
        <v>0</v>
      </c>
      <c r="S14" s="14">
        <f>SUM(G14:R14)</f>
        <v>0</v>
      </c>
    </row>
    <row r="15" spans="1:19" x14ac:dyDescent="0.2">
      <c r="B15" t="s">
        <v>88</v>
      </c>
      <c r="F15" s="14">
        <v>90000</v>
      </c>
      <c r="G15" s="14">
        <f>+F15/12</f>
        <v>7500</v>
      </c>
      <c r="H15" s="14">
        <f>+G15</f>
        <v>7500</v>
      </c>
      <c r="I15" s="14">
        <f t="shared" ref="I15:R15" si="3">+H15</f>
        <v>7500</v>
      </c>
      <c r="J15" s="14">
        <f t="shared" si="3"/>
        <v>7500</v>
      </c>
      <c r="K15" s="14">
        <f t="shared" si="3"/>
        <v>7500</v>
      </c>
      <c r="L15" s="14">
        <f t="shared" si="3"/>
        <v>7500</v>
      </c>
      <c r="M15" s="14">
        <f t="shared" si="3"/>
        <v>7500</v>
      </c>
      <c r="N15" s="14">
        <f t="shared" si="3"/>
        <v>7500</v>
      </c>
      <c r="O15" s="14">
        <f t="shared" si="3"/>
        <v>7500</v>
      </c>
      <c r="P15" s="14">
        <f t="shared" si="3"/>
        <v>7500</v>
      </c>
      <c r="Q15" s="14">
        <f t="shared" si="3"/>
        <v>7500</v>
      </c>
      <c r="R15" s="14">
        <f t="shared" si="3"/>
        <v>7500</v>
      </c>
      <c r="S15" s="14">
        <f>SUM(G15:R15)</f>
        <v>90000</v>
      </c>
    </row>
    <row r="16" spans="1:19" x14ac:dyDescent="0.2">
      <c r="B16" t="s">
        <v>142</v>
      </c>
      <c r="F16" s="14">
        <v>14326.307999999999</v>
      </c>
      <c r="G16" s="14">
        <v>0</v>
      </c>
      <c r="H16" s="14">
        <v>0</v>
      </c>
      <c r="I16" s="14">
        <f>+F16/10</f>
        <v>1432.6307999999999</v>
      </c>
      <c r="J16" s="14">
        <f t="shared" ref="J16:R16" si="4">+I16</f>
        <v>1432.6307999999999</v>
      </c>
      <c r="K16" s="14">
        <f t="shared" si="4"/>
        <v>1432.6307999999999</v>
      </c>
      <c r="L16" s="14">
        <f t="shared" si="4"/>
        <v>1432.6307999999999</v>
      </c>
      <c r="M16" s="14">
        <f t="shared" si="4"/>
        <v>1432.6307999999999</v>
      </c>
      <c r="N16" s="14">
        <f t="shared" si="4"/>
        <v>1432.6307999999999</v>
      </c>
      <c r="O16" s="14">
        <f t="shared" si="4"/>
        <v>1432.6307999999999</v>
      </c>
      <c r="P16" s="14">
        <f t="shared" si="4"/>
        <v>1432.6307999999999</v>
      </c>
      <c r="Q16" s="14">
        <f t="shared" si="4"/>
        <v>1432.6307999999999</v>
      </c>
      <c r="R16" s="14">
        <f t="shared" si="4"/>
        <v>1432.6307999999999</v>
      </c>
      <c r="S16" s="14">
        <f>SUM(G16:R16)</f>
        <v>14326.307999999997</v>
      </c>
    </row>
    <row r="17" spans="1:19" ht="15" x14ac:dyDescent="0.35">
      <c r="B17" t="s">
        <v>3</v>
      </c>
      <c r="E17" s="3" t="s">
        <v>63</v>
      </c>
      <c r="F17" s="4">
        <v>55713.42</v>
      </c>
      <c r="G17" s="4">
        <v>0</v>
      </c>
      <c r="H17" s="4">
        <v>0</v>
      </c>
      <c r="I17" s="4">
        <f>+F17/10</f>
        <v>5571.3419999999996</v>
      </c>
      <c r="J17" s="4">
        <f t="shared" ref="J17:R17" si="5">+I17</f>
        <v>5571.3419999999996</v>
      </c>
      <c r="K17" s="4">
        <f t="shared" si="5"/>
        <v>5571.3419999999996</v>
      </c>
      <c r="L17" s="4">
        <f t="shared" si="5"/>
        <v>5571.3419999999996</v>
      </c>
      <c r="M17" s="4">
        <f t="shared" si="5"/>
        <v>5571.3419999999996</v>
      </c>
      <c r="N17" s="4">
        <f t="shared" si="5"/>
        <v>5571.3419999999996</v>
      </c>
      <c r="O17" s="4">
        <f t="shared" si="5"/>
        <v>5571.3419999999996</v>
      </c>
      <c r="P17" s="4">
        <f t="shared" si="5"/>
        <v>5571.3419999999996</v>
      </c>
      <c r="Q17" s="4">
        <f t="shared" si="5"/>
        <v>5571.3419999999996</v>
      </c>
      <c r="R17" s="4">
        <f t="shared" si="5"/>
        <v>5571.3419999999996</v>
      </c>
      <c r="S17" s="4">
        <f>SUM(G17:R17)</f>
        <v>55713.419999999984</v>
      </c>
    </row>
    <row r="18" spans="1:19" s="5" customFormat="1" ht="15" x14ac:dyDescent="0.35">
      <c r="A18" s="5" t="s">
        <v>49</v>
      </c>
      <c r="E18" s="9"/>
      <c r="F18" s="6">
        <v>1997981.424957447</v>
      </c>
      <c r="G18" s="6">
        <f t="shared" ref="G18:S18" si="6">SUM(G13:G17)</f>
        <v>160661.80807978727</v>
      </c>
      <c r="H18" s="6">
        <f t="shared" si="6"/>
        <v>160661.80807978727</v>
      </c>
      <c r="I18" s="6">
        <f t="shared" si="6"/>
        <v>167665.78087978729</v>
      </c>
      <c r="J18" s="6">
        <f t="shared" si="6"/>
        <v>167665.78087978729</v>
      </c>
      <c r="K18" s="6">
        <f t="shared" si="6"/>
        <v>167665.78087978729</v>
      </c>
      <c r="L18" s="6">
        <f t="shared" si="6"/>
        <v>167665.78087978729</v>
      </c>
      <c r="M18" s="6">
        <f t="shared" si="6"/>
        <v>167665.78087978729</v>
      </c>
      <c r="N18" s="6">
        <f t="shared" si="6"/>
        <v>167665.78087978729</v>
      </c>
      <c r="O18" s="6">
        <f t="shared" si="6"/>
        <v>167665.78087978729</v>
      </c>
      <c r="P18" s="6">
        <f t="shared" si="6"/>
        <v>167665.78087978729</v>
      </c>
      <c r="Q18" s="6">
        <f t="shared" si="6"/>
        <v>167665.78087978729</v>
      </c>
      <c r="R18" s="6">
        <f t="shared" si="6"/>
        <v>167665.78087978729</v>
      </c>
      <c r="S18" s="6">
        <f t="shared" si="6"/>
        <v>1997981.4249574472</v>
      </c>
    </row>
    <row r="20" spans="1:19" x14ac:dyDescent="0.2">
      <c r="A20" s="5" t="s">
        <v>4</v>
      </c>
    </row>
    <row r="21" spans="1:19" x14ac:dyDescent="0.2">
      <c r="B21" s="5" t="s">
        <v>5</v>
      </c>
    </row>
    <row r="22" spans="1:19" x14ac:dyDescent="0.2">
      <c r="B22" s="5"/>
      <c r="C22" t="s">
        <v>6</v>
      </c>
      <c r="E22" s="3" t="e">
        <f>CONCATENATE(#REF!+Misc!B5," @ ",Tchr)</f>
        <v>#REF!</v>
      </c>
      <c r="F22" s="14">
        <v>687662.78399999999</v>
      </c>
      <c r="G22" s="14">
        <f>+F22/12</f>
        <v>57305.231999999996</v>
      </c>
      <c r="H22" s="14">
        <f t="shared" ref="H22:R22" si="7">+G22</f>
        <v>57305.231999999996</v>
      </c>
      <c r="I22" s="14">
        <f t="shared" si="7"/>
        <v>57305.231999999996</v>
      </c>
      <c r="J22" s="14">
        <f t="shared" si="7"/>
        <v>57305.231999999996</v>
      </c>
      <c r="K22" s="14">
        <f t="shared" si="7"/>
        <v>57305.231999999996</v>
      </c>
      <c r="L22" s="14">
        <f t="shared" si="7"/>
        <v>57305.231999999996</v>
      </c>
      <c r="M22" s="14">
        <f t="shared" si="7"/>
        <v>57305.231999999996</v>
      </c>
      <c r="N22" s="14">
        <f t="shared" si="7"/>
        <v>57305.231999999996</v>
      </c>
      <c r="O22" s="14">
        <f t="shared" si="7"/>
        <v>57305.231999999996</v>
      </c>
      <c r="P22" s="14">
        <f t="shared" si="7"/>
        <v>57305.231999999996</v>
      </c>
      <c r="Q22" s="14">
        <f t="shared" si="7"/>
        <v>57305.231999999996</v>
      </c>
      <c r="R22" s="14">
        <f t="shared" si="7"/>
        <v>57305.231999999996</v>
      </c>
      <c r="S22" s="14">
        <f>SUM(G22:R22)</f>
        <v>687662.78399999999</v>
      </c>
    </row>
    <row r="23" spans="1:19" x14ac:dyDescent="0.2">
      <c r="B23" s="5"/>
      <c r="C23" t="s">
        <v>156</v>
      </c>
      <c r="F23" s="14">
        <v>49919.224320000008</v>
      </c>
      <c r="G23" s="14">
        <v>0</v>
      </c>
      <c r="H23" s="14">
        <f>+F23/10</f>
        <v>4991.9224320000012</v>
      </c>
      <c r="I23" s="14">
        <f t="shared" ref="I23:Q23" si="8">+H23</f>
        <v>4991.9224320000012</v>
      </c>
      <c r="J23" s="14">
        <f t="shared" si="8"/>
        <v>4991.9224320000012</v>
      </c>
      <c r="K23" s="14">
        <f t="shared" si="8"/>
        <v>4991.9224320000012</v>
      </c>
      <c r="L23" s="14">
        <f t="shared" si="8"/>
        <v>4991.9224320000012</v>
      </c>
      <c r="M23" s="14">
        <f t="shared" si="8"/>
        <v>4991.9224320000012</v>
      </c>
      <c r="N23" s="14">
        <f t="shared" si="8"/>
        <v>4991.9224320000012</v>
      </c>
      <c r="O23" s="14">
        <f t="shared" si="8"/>
        <v>4991.9224320000012</v>
      </c>
      <c r="P23" s="14">
        <f t="shared" si="8"/>
        <v>4991.9224320000012</v>
      </c>
      <c r="Q23" s="14">
        <f t="shared" si="8"/>
        <v>4991.9224320000012</v>
      </c>
      <c r="R23" s="14">
        <v>0</v>
      </c>
      <c r="S23" s="14">
        <f>SUM(G23:R23)</f>
        <v>49919.224320000001</v>
      </c>
    </row>
    <row r="24" spans="1:19" ht="15" x14ac:dyDescent="0.35">
      <c r="C24" t="s">
        <v>96</v>
      </c>
      <c r="E24" s="3" t="str">
        <f>CONCATENATE(para1," @ ",Misc!B8)</f>
        <v>0 @ 17280</v>
      </c>
      <c r="F24" s="4">
        <v>55013.022719999994</v>
      </c>
      <c r="G24" s="4">
        <v>0</v>
      </c>
      <c r="H24" s="4">
        <f>+F24/10</f>
        <v>5501.302271999999</v>
      </c>
      <c r="I24" s="4">
        <f t="shared" ref="I24:Q24" si="9">+H24</f>
        <v>5501.302271999999</v>
      </c>
      <c r="J24" s="4">
        <f t="shared" si="9"/>
        <v>5501.302271999999</v>
      </c>
      <c r="K24" s="4">
        <f t="shared" si="9"/>
        <v>5501.302271999999</v>
      </c>
      <c r="L24" s="4">
        <f t="shared" si="9"/>
        <v>5501.302271999999</v>
      </c>
      <c r="M24" s="4">
        <f t="shared" si="9"/>
        <v>5501.302271999999</v>
      </c>
      <c r="N24" s="4">
        <f t="shared" si="9"/>
        <v>5501.302271999999</v>
      </c>
      <c r="O24" s="4">
        <f t="shared" si="9"/>
        <v>5501.302271999999</v>
      </c>
      <c r="P24" s="4">
        <f t="shared" si="9"/>
        <v>5501.302271999999</v>
      </c>
      <c r="Q24" s="4">
        <f t="shared" si="9"/>
        <v>5501.302271999999</v>
      </c>
      <c r="R24" s="4">
        <v>0</v>
      </c>
      <c r="S24" s="4">
        <f>SUM(G24:R24)</f>
        <v>55013.022720000001</v>
      </c>
    </row>
    <row r="25" spans="1:19" ht="15" x14ac:dyDescent="0.35">
      <c r="D25" s="5" t="s">
        <v>41</v>
      </c>
      <c r="E25" s="9"/>
      <c r="F25" s="6">
        <v>792595.03104000003</v>
      </c>
      <c r="G25" s="6">
        <f t="shared" ref="G25:S25" si="10">SUM(G22:G24)</f>
        <v>57305.231999999996</v>
      </c>
      <c r="H25" s="6">
        <f t="shared" si="10"/>
        <v>67798.456703999997</v>
      </c>
      <c r="I25" s="6">
        <f t="shared" si="10"/>
        <v>67798.456703999997</v>
      </c>
      <c r="J25" s="6">
        <f t="shared" si="10"/>
        <v>67798.456703999997</v>
      </c>
      <c r="K25" s="6">
        <f t="shared" si="10"/>
        <v>67798.456703999997</v>
      </c>
      <c r="L25" s="6">
        <f t="shared" si="10"/>
        <v>67798.456703999997</v>
      </c>
      <c r="M25" s="6">
        <f t="shared" si="10"/>
        <v>67798.456703999997</v>
      </c>
      <c r="N25" s="6">
        <f t="shared" si="10"/>
        <v>67798.456703999997</v>
      </c>
      <c r="O25" s="6">
        <f t="shared" si="10"/>
        <v>67798.456703999997</v>
      </c>
      <c r="P25" s="6">
        <f t="shared" si="10"/>
        <v>67798.456703999997</v>
      </c>
      <c r="Q25" s="6">
        <f t="shared" si="10"/>
        <v>67798.456703999997</v>
      </c>
      <c r="R25" s="6">
        <f t="shared" si="10"/>
        <v>57305.231999999996</v>
      </c>
      <c r="S25" s="6">
        <f t="shared" si="10"/>
        <v>792595.03104000003</v>
      </c>
    </row>
    <row r="26" spans="1:19" x14ac:dyDescent="0.2">
      <c r="C26" t="s">
        <v>7</v>
      </c>
      <c r="E26" s="13">
        <v>1.4999999999999999E-2</v>
      </c>
      <c r="F26" s="14">
        <v>11888.925465599999</v>
      </c>
      <c r="G26" s="14">
        <f t="shared" ref="G26:R29" si="11">+$F26/$F$25*G$25</f>
        <v>859.5784799999999</v>
      </c>
      <c r="H26" s="14">
        <f t="shared" si="11"/>
        <v>1016.9768505599999</v>
      </c>
      <c r="I26" s="14">
        <f t="shared" si="11"/>
        <v>1016.9768505599999</v>
      </c>
      <c r="J26" s="14">
        <f t="shared" si="11"/>
        <v>1016.9768505599999</v>
      </c>
      <c r="K26" s="14">
        <f t="shared" si="11"/>
        <v>1016.9768505599999</v>
      </c>
      <c r="L26" s="14">
        <f t="shared" si="11"/>
        <v>1016.9768505599999</v>
      </c>
      <c r="M26" s="14">
        <f t="shared" si="11"/>
        <v>1016.9768505599999</v>
      </c>
      <c r="N26" s="14">
        <f t="shared" si="11"/>
        <v>1016.9768505599999</v>
      </c>
      <c r="O26" s="14">
        <f t="shared" si="11"/>
        <v>1016.9768505599999</v>
      </c>
      <c r="P26" s="14">
        <f t="shared" si="11"/>
        <v>1016.9768505599999</v>
      </c>
      <c r="Q26" s="14">
        <f t="shared" si="11"/>
        <v>1016.9768505599999</v>
      </c>
      <c r="R26" s="14">
        <f t="shared" si="11"/>
        <v>859.5784799999999</v>
      </c>
      <c r="S26" s="14">
        <f>SUM(G26:R26)</f>
        <v>11888.925465599999</v>
      </c>
    </row>
    <row r="27" spans="1:19" x14ac:dyDescent="0.2">
      <c r="C27" t="s">
        <v>8</v>
      </c>
      <c r="E27" s="3" t="s">
        <v>52</v>
      </c>
      <c r="F27" s="14">
        <v>64791.519874559999</v>
      </c>
      <c r="G27" s="14">
        <f t="shared" si="11"/>
        <v>4684.476854683804</v>
      </c>
      <c r="H27" s="14">
        <f t="shared" si="11"/>
        <v>5542.2566165192384</v>
      </c>
      <c r="I27" s="14">
        <f t="shared" si="11"/>
        <v>5542.2566165192384</v>
      </c>
      <c r="J27" s="14">
        <f t="shared" si="11"/>
        <v>5542.2566165192384</v>
      </c>
      <c r="K27" s="14">
        <f t="shared" si="11"/>
        <v>5542.2566165192384</v>
      </c>
      <c r="L27" s="14">
        <f t="shared" si="11"/>
        <v>5542.2566165192384</v>
      </c>
      <c r="M27" s="14">
        <f t="shared" si="11"/>
        <v>5542.2566165192384</v>
      </c>
      <c r="N27" s="14">
        <f t="shared" si="11"/>
        <v>5542.2566165192384</v>
      </c>
      <c r="O27" s="14">
        <f t="shared" si="11"/>
        <v>5542.2566165192384</v>
      </c>
      <c r="P27" s="14">
        <f t="shared" si="11"/>
        <v>5542.2566165192384</v>
      </c>
      <c r="Q27" s="14">
        <f t="shared" si="11"/>
        <v>5542.2566165192384</v>
      </c>
      <c r="R27" s="14">
        <f t="shared" si="11"/>
        <v>4684.476854683804</v>
      </c>
      <c r="S27" s="14">
        <f>SUM(G27:R27)</f>
        <v>64791.519874559999</v>
      </c>
    </row>
    <row r="28" spans="1:19" x14ac:dyDescent="0.2">
      <c r="C28" t="s">
        <v>9</v>
      </c>
      <c r="E28" s="3" t="str">
        <f>CONCATENATE("$",ins," per month per employee")</f>
        <v>$266.666666666666 per month per employee</v>
      </c>
      <c r="F28" s="14">
        <v>60488.855999999992</v>
      </c>
      <c r="G28" s="14">
        <f t="shared" si="11"/>
        <v>4373.3909383033406</v>
      </c>
      <c r="H28" s="14">
        <f t="shared" si="11"/>
        <v>5174.2074123393304</v>
      </c>
      <c r="I28" s="14">
        <f t="shared" si="11"/>
        <v>5174.2074123393304</v>
      </c>
      <c r="J28" s="14">
        <f t="shared" si="11"/>
        <v>5174.2074123393304</v>
      </c>
      <c r="K28" s="14">
        <f t="shared" si="11"/>
        <v>5174.2074123393304</v>
      </c>
      <c r="L28" s="14">
        <f t="shared" si="11"/>
        <v>5174.2074123393304</v>
      </c>
      <c r="M28" s="14">
        <f t="shared" si="11"/>
        <v>5174.2074123393304</v>
      </c>
      <c r="N28" s="14">
        <f t="shared" si="11"/>
        <v>5174.2074123393304</v>
      </c>
      <c r="O28" s="14">
        <f t="shared" si="11"/>
        <v>5174.2074123393304</v>
      </c>
      <c r="P28" s="14">
        <f t="shared" si="11"/>
        <v>5174.2074123393304</v>
      </c>
      <c r="Q28" s="14">
        <f t="shared" si="11"/>
        <v>5174.2074123393304</v>
      </c>
      <c r="R28" s="14">
        <f t="shared" si="11"/>
        <v>4373.3909383033406</v>
      </c>
      <c r="S28" s="14">
        <f>SUM(G28:R28)</f>
        <v>60488.855999999992</v>
      </c>
    </row>
    <row r="29" spans="1:19" ht="15" x14ac:dyDescent="0.35">
      <c r="C29" t="s">
        <v>10</v>
      </c>
      <c r="E29" s="11" t="s">
        <v>53</v>
      </c>
      <c r="F29" s="4">
        <v>7925.9503104000005</v>
      </c>
      <c r="G29" s="4">
        <f t="shared" si="11"/>
        <v>573.05232000000001</v>
      </c>
      <c r="H29" s="4">
        <f t="shared" si="11"/>
        <v>677.98456704</v>
      </c>
      <c r="I29" s="4">
        <f t="shared" si="11"/>
        <v>677.98456704</v>
      </c>
      <c r="J29" s="4">
        <f t="shared" si="11"/>
        <v>677.98456704</v>
      </c>
      <c r="K29" s="4">
        <f t="shared" si="11"/>
        <v>677.98456704</v>
      </c>
      <c r="L29" s="4">
        <f t="shared" si="11"/>
        <v>677.98456704</v>
      </c>
      <c r="M29" s="4">
        <f t="shared" si="11"/>
        <v>677.98456704</v>
      </c>
      <c r="N29" s="4">
        <f t="shared" si="11"/>
        <v>677.98456704</v>
      </c>
      <c r="O29" s="4">
        <f t="shared" si="11"/>
        <v>677.98456704</v>
      </c>
      <c r="P29" s="4">
        <f t="shared" si="11"/>
        <v>677.98456704</v>
      </c>
      <c r="Q29" s="4">
        <f t="shared" si="11"/>
        <v>677.98456704</v>
      </c>
      <c r="R29" s="4">
        <f t="shared" si="11"/>
        <v>573.05232000000001</v>
      </c>
      <c r="S29" s="4">
        <f>SUM(G29:R29)</f>
        <v>7925.9503103999996</v>
      </c>
    </row>
    <row r="30" spans="1:19" ht="15" x14ac:dyDescent="0.35">
      <c r="D30" s="5" t="s">
        <v>42</v>
      </c>
      <c r="E30" s="9"/>
      <c r="F30" s="6">
        <v>145095.25165055998</v>
      </c>
      <c r="G30" s="6">
        <f t="shared" ref="G30:S30" si="12">SUM(G26:G29)</f>
        <v>10490.498592987145</v>
      </c>
      <c r="H30" s="6">
        <f t="shared" si="12"/>
        <v>12411.425446458568</v>
      </c>
      <c r="I30" s="6">
        <f t="shared" si="12"/>
        <v>12411.425446458568</v>
      </c>
      <c r="J30" s="6">
        <f t="shared" si="12"/>
        <v>12411.425446458568</v>
      </c>
      <c r="K30" s="6">
        <f t="shared" si="12"/>
        <v>12411.425446458568</v>
      </c>
      <c r="L30" s="6">
        <f t="shared" si="12"/>
        <v>12411.425446458568</v>
      </c>
      <c r="M30" s="6">
        <f t="shared" si="12"/>
        <v>12411.425446458568</v>
      </c>
      <c r="N30" s="6">
        <f t="shared" si="12"/>
        <v>12411.425446458568</v>
      </c>
      <c r="O30" s="6">
        <f t="shared" si="12"/>
        <v>12411.425446458568</v>
      </c>
      <c r="P30" s="6">
        <f t="shared" si="12"/>
        <v>12411.425446458568</v>
      </c>
      <c r="Q30" s="6">
        <f t="shared" si="12"/>
        <v>12411.425446458568</v>
      </c>
      <c r="R30" s="6">
        <f t="shared" si="12"/>
        <v>10490.498592987145</v>
      </c>
      <c r="S30" s="6">
        <f t="shared" si="12"/>
        <v>145095.25165055998</v>
      </c>
    </row>
    <row r="31" spans="1:19" x14ac:dyDescent="0.2">
      <c r="C31" t="s">
        <v>11</v>
      </c>
      <c r="E31" s="3" t="s">
        <v>140</v>
      </c>
      <c r="F31" s="14">
        <v>15918.12</v>
      </c>
      <c r="G31" s="14">
        <v>0</v>
      </c>
      <c r="H31" s="14">
        <f>+F31/10</f>
        <v>1591.8120000000001</v>
      </c>
      <c r="I31" s="14">
        <f t="shared" ref="I31:Q31" si="13">+H31</f>
        <v>1591.8120000000001</v>
      </c>
      <c r="J31" s="14">
        <f t="shared" si="13"/>
        <v>1591.8120000000001</v>
      </c>
      <c r="K31" s="14">
        <f t="shared" si="13"/>
        <v>1591.8120000000001</v>
      </c>
      <c r="L31" s="14">
        <f t="shared" si="13"/>
        <v>1591.8120000000001</v>
      </c>
      <c r="M31" s="14">
        <f t="shared" si="13"/>
        <v>1591.8120000000001</v>
      </c>
      <c r="N31" s="14">
        <f t="shared" si="13"/>
        <v>1591.8120000000001</v>
      </c>
      <c r="O31" s="14">
        <f t="shared" si="13"/>
        <v>1591.8120000000001</v>
      </c>
      <c r="P31" s="14">
        <f t="shared" si="13"/>
        <v>1591.8120000000001</v>
      </c>
      <c r="Q31" s="14">
        <f t="shared" si="13"/>
        <v>1591.8120000000001</v>
      </c>
      <c r="R31" s="14">
        <v>0</v>
      </c>
      <c r="S31" s="14">
        <f t="shared" ref="S31:S39" si="14">SUM(G31:R31)</f>
        <v>15918.12</v>
      </c>
    </row>
    <row r="32" spans="1:19" x14ac:dyDescent="0.2">
      <c r="C32" t="s">
        <v>12</v>
      </c>
      <c r="E32" s="3" t="s">
        <v>54</v>
      </c>
      <c r="F32" s="14">
        <v>1000</v>
      </c>
      <c r="G32" s="14">
        <f>+F32/3</f>
        <v>333.33333333333331</v>
      </c>
      <c r="H32" s="14">
        <v>0</v>
      </c>
      <c r="I32" s="14">
        <v>0</v>
      </c>
      <c r="J32" s="14">
        <v>0</v>
      </c>
      <c r="K32" s="14">
        <v>0</v>
      </c>
      <c r="L32" s="14">
        <f>+G32</f>
        <v>333.33333333333331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f>+G32</f>
        <v>333.33333333333331</v>
      </c>
      <c r="S32" s="14">
        <f t="shared" si="14"/>
        <v>1000</v>
      </c>
    </row>
    <row r="33" spans="2:19" x14ac:dyDescent="0.2">
      <c r="C33" t="s">
        <v>13</v>
      </c>
      <c r="E33" s="3" t="s">
        <v>106</v>
      </c>
      <c r="F33" s="14">
        <v>23877.18</v>
      </c>
      <c r="G33" s="14">
        <f t="shared" ref="G33:G38" si="15">+F33/4</f>
        <v>5969.2950000000001</v>
      </c>
      <c r="H33" s="14">
        <f t="shared" ref="H33:H38" si="16">+(F33-G33)/11</f>
        <v>1627.9895454545456</v>
      </c>
      <c r="I33" s="14">
        <f t="shared" ref="I33:R33" si="17">+H33</f>
        <v>1627.9895454545456</v>
      </c>
      <c r="J33" s="14">
        <f t="shared" si="17"/>
        <v>1627.9895454545456</v>
      </c>
      <c r="K33" s="14">
        <f t="shared" si="17"/>
        <v>1627.9895454545456</v>
      </c>
      <c r="L33" s="14">
        <f t="shared" si="17"/>
        <v>1627.9895454545456</v>
      </c>
      <c r="M33" s="14">
        <f t="shared" si="17"/>
        <v>1627.9895454545456</v>
      </c>
      <c r="N33" s="14">
        <f t="shared" si="17"/>
        <v>1627.9895454545456</v>
      </c>
      <c r="O33" s="14">
        <f t="shared" si="17"/>
        <v>1627.9895454545456</v>
      </c>
      <c r="P33" s="14">
        <f t="shared" si="17"/>
        <v>1627.9895454545456</v>
      </c>
      <c r="Q33" s="14">
        <f t="shared" si="17"/>
        <v>1627.9895454545456</v>
      </c>
      <c r="R33" s="14">
        <f t="shared" si="17"/>
        <v>1627.9895454545456</v>
      </c>
      <c r="S33" s="14">
        <f t="shared" si="14"/>
        <v>23877.179999999997</v>
      </c>
    </row>
    <row r="34" spans="2:19" hidden="1" x14ac:dyDescent="0.2">
      <c r="C34" t="s">
        <v>115</v>
      </c>
      <c r="E34" s="3" t="s">
        <v>137</v>
      </c>
      <c r="F34" s="14">
        <v>0</v>
      </c>
      <c r="G34" s="14">
        <f t="shared" si="15"/>
        <v>0</v>
      </c>
      <c r="H34" s="14">
        <f t="shared" si="16"/>
        <v>0</v>
      </c>
      <c r="I34" s="14">
        <f t="shared" ref="I34:R34" si="18">+H34</f>
        <v>0</v>
      </c>
      <c r="J34" s="14">
        <f t="shared" si="18"/>
        <v>0</v>
      </c>
      <c r="K34" s="14">
        <f t="shared" si="18"/>
        <v>0</v>
      </c>
      <c r="L34" s="14">
        <f t="shared" si="18"/>
        <v>0</v>
      </c>
      <c r="M34" s="14">
        <f t="shared" si="18"/>
        <v>0</v>
      </c>
      <c r="N34" s="14">
        <f t="shared" si="18"/>
        <v>0</v>
      </c>
      <c r="O34" s="14">
        <f t="shared" si="18"/>
        <v>0</v>
      </c>
      <c r="P34" s="14">
        <f t="shared" si="18"/>
        <v>0</v>
      </c>
      <c r="Q34" s="14">
        <f t="shared" si="18"/>
        <v>0</v>
      </c>
      <c r="R34" s="14">
        <f t="shared" si="18"/>
        <v>0</v>
      </c>
      <c r="S34" s="14">
        <f t="shared" si="14"/>
        <v>0</v>
      </c>
    </row>
    <row r="35" spans="2:19" x14ac:dyDescent="0.2">
      <c r="C35" t="s">
        <v>14</v>
      </c>
      <c r="E35" s="3" t="s">
        <v>68</v>
      </c>
      <c r="F35" s="14">
        <v>7959.06</v>
      </c>
      <c r="G35" s="14">
        <f t="shared" si="15"/>
        <v>1989.7650000000001</v>
      </c>
      <c r="H35" s="14">
        <f t="shared" si="16"/>
        <v>542.66318181818178</v>
      </c>
      <c r="I35" s="14">
        <f t="shared" ref="I35:R35" si="19">+H35</f>
        <v>542.66318181818178</v>
      </c>
      <c r="J35" s="14">
        <f t="shared" si="19"/>
        <v>542.66318181818178</v>
      </c>
      <c r="K35" s="14">
        <f t="shared" si="19"/>
        <v>542.66318181818178</v>
      </c>
      <c r="L35" s="14">
        <f t="shared" si="19"/>
        <v>542.66318181818178</v>
      </c>
      <c r="M35" s="14">
        <f t="shared" si="19"/>
        <v>542.66318181818178</v>
      </c>
      <c r="N35" s="14">
        <f t="shared" si="19"/>
        <v>542.66318181818178</v>
      </c>
      <c r="O35" s="14">
        <f t="shared" si="19"/>
        <v>542.66318181818178</v>
      </c>
      <c r="P35" s="14">
        <f t="shared" si="19"/>
        <v>542.66318181818178</v>
      </c>
      <c r="Q35" s="14">
        <f t="shared" si="19"/>
        <v>542.66318181818178</v>
      </c>
      <c r="R35" s="14">
        <f t="shared" si="19"/>
        <v>542.66318181818178</v>
      </c>
      <c r="S35" s="14">
        <f t="shared" si="14"/>
        <v>7959.0599999999959</v>
      </c>
    </row>
    <row r="36" spans="2:19" hidden="1" x14ac:dyDescent="0.2">
      <c r="C36" t="s">
        <v>69</v>
      </c>
      <c r="E36" s="3" t="s">
        <v>105</v>
      </c>
      <c r="F36" s="14">
        <v>0</v>
      </c>
      <c r="G36" s="14">
        <f t="shared" si="15"/>
        <v>0</v>
      </c>
      <c r="H36" s="14">
        <f t="shared" si="16"/>
        <v>0</v>
      </c>
      <c r="I36" s="14">
        <f t="shared" ref="I36:R36" si="20">+H36</f>
        <v>0</v>
      </c>
      <c r="J36" s="14">
        <f t="shared" si="20"/>
        <v>0</v>
      </c>
      <c r="K36" s="14">
        <f t="shared" si="20"/>
        <v>0</v>
      </c>
      <c r="L36" s="14">
        <f t="shared" si="20"/>
        <v>0</v>
      </c>
      <c r="M36" s="14">
        <f t="shared" si="20"/>
        <v>0</v>
      </c>
      <c r="N36" s="14">
        <f t="shared" si="20"/>
        <v>0</v>
      </c>
      <c r="O36" s="14">
        <f t="shared" si="20"/>
        <v>0</v>
      </c>
      <c r="P36" s="14">
        <f t="shared" si="20"/>
        <v>0</v>
      </c>
      <c r="Q36" s="14">
        <f t="shared" si="20"/>
        <v>0</v>
      </c>
      <c r="R36" s="14">
        <f t="shared" si="20"/>
        <v>0</v>
      </c>
      <c r="S36" s="14">
        <f t="shared" si="14"/>
        <v>0</v>
      </c>
    </row>
    <row r="37" spans="2:19" hidden="1" x14ac:dyDescent="0.2">
      <c r="C37" t="s">
        <v>15</v>
      </c>
      <c r="E37" s="3" t="s">
        <v>107</v>
      </c>
      <c r="F37" s="14">
        <v>0</v>
      </c>
      <c r="G37" s="14">
        <f t="shared" si="15"/>
        <v>0</v>
      </c>
      <c r="H37" s="14">
        <f t="shared" si="16"/>
        <v>0</v>
      </c>
      <c r="I37" s="14">
        <f t="shared" ref="I37:R37" si="21">+H37</f>
        <v>0</v>
      </c>
      <c r="J37" s="14">
        <f t="shared" si="21"/>
        <v>0</v>
      </c>
      <c r="K37" s="14">
        <f t="shared" si="21"/>
        <v>0</v>
      </c>
      <c r="L37" s="14">
        <f t="shared" si="21"/>
        <v>0</v>
      </c>
      <c r="M37" s="14">
        <f t="shared" si="21"/>
        <v>0</v>
      </c>
      <c r="N37" s="14">
        <f t="shared" si="21"/>
        <v>0</v>
      </c>
      <c r="O37" s="14">
        <f t="shared" si="21"/>
        <v>0</v>
      </c>
      <c r="P37" s="14">
        <f t="shared" si="21"/>
        <v>0</v>
      </c>
      <c r="Q37" s="14">
        <f t="shared" si="21"/>
        <v>0</v>
      </c>
      <c r="R37" s="14">
        <f t="shared" si="21"/>
        <v>0</v>
      </c>
      <c r="S37" s="14">
        <f t="shared" si="14"/>
        <v>0</v>
      </c>
    </row>
    <row r="38" spans="2:19" x14ac:dyDescent="0.2">
      <c r="C38" t="s">
        <v>16</v>
      </c>
      <c r="E38" s="3" t="s">
        <v>54</v>
      </c>
      <c r="F38" s="14">
        <v>2815.40604816</v>
      </c>
      <c r="G38" s="14">
        <f t="shared" si="15"/>
        <v>703.85151203999999</v>
      </c>
      <c r="H38" s="14">
        <f t="shared" si="16"/>
        <v>191.95950328363639</v>
      </c>
      <c r="I38" s="14">
        <f t="shared" ref="I38:R38" si="22">+H38</f>
        <v>191.95950328363639</v>
      </c>
      <c r="J38" s="14">
        <f t="shared" si="22"/>
        <v>191.95950328363639</v>
      </c>
      <c r="K38" s="14">
        <f t="shared" si="22"/>
        <v>191.95950328363639</v>
      </c>
      <c r="L38" s="14">
        <f t="shared" si="22"/>
        <v>191.95950328363639</v>
      </c>
      <c r="M38" s="14">
        <f t="shared" si="22"/>
        <v>191.95950328363639</v>
      </c>
      <c r="N38" s="14">
        <f t="shared" si="22"/>
        <v>191.95950328363639</v>
      </c>
      <c r="O38" s="14">
        <f t="shared" si="22"/>
        <v>191.95950328363639</v>
      </c>
      <c r="P38" s="14">
        <f t="shared" si="22"/>
        <v>191.95950328363639</v>
      </c>
      <c r="Q38" s="14">
        <f t="shared" si="22"/>
        <v>191.95950328363639</v>
      </c>
      <c r="R38" s="14">
        <f t="shared" si="22"/>
        <v>191.95950328363639</v>
      </c>
      <c r="S38" s="14">
        <f t="shared" si="14"/>
        <v>2815.4060481600004</v>
      </c>
    </row>
    <row r="39" spans="2:19" ht="15" x14ac:dyDescent="0.35">
      <c r="C39" t="s">
        <v>17</v>
      </c>
      <c r="E39" s="3" t="s">
        <v>116</v>
      </c>
      <c r="F39" s="4">
        <v>5093.7983999999997</v>
      </c>
      <c r="G39" s="4">
        <v>0</v>
      </c>
      <c r="H39" s="4">
        <f>+F39/10</f>
        <v>509.37983999999994</v>
      </c>
      <c r="I39" s="4">
        <f t="shared" ref="I39:Q39" si="23">+H39</f>
        <v>509.37983999999994</v>
      </c>
      <c r="J39" s="4">
        <f t="shared" si="23"/>
        <v>509.37983999999994</v>
      </c>
      <c r="K39" s="4">
        <f t="shared" si="23"/>
        <v>509.37983999999994</v>
      </c>
      <c r="L39" s="4">
        <f t="shared" si="23"/>
        <v>509.37983999999994</v>
      </c>
      <c r="M39" s="4">
        <f t="shared" si="23"/>
        <v>509.37983999999994</v>
      </c>
      <c r="N39" s="4">
        <f t="shared" si="23"/>
        <v>509.37983999999994</v>
      </c>
      <c r="O39" s="4">
        <f t="shared" si="23"/>
        <v>509.37983999999994</v>
      </c>
      <c r="P39" s="4">
        <f t="shared" si="23"/>
        <v>509.37983999999994</v>
      </c>
      <c r="Q39" s="4">
        <f t="shared" si="23"/>
        <v>509.37983999999994</v>
      </c>
      <c r="R39" s="4">
        <v>0</v>
      </c>
      <c r="S39" s="4">
        <f t="shared" si="14"/>
        <v>5093.7983999999997</v>
      </c>
    </row>
    <row r="40" spans="2:19" ht="15" x14ac:dyDescent="0.35">
      <c r="D40" s="5" t="s">
        <v>43</v>
      </c>
      <c r="E40" s="9"/>
      <c r="F40" s="6">
        <v>56663.564448160003</v>
      </c>
      <c r="G40" s="6">
        <f t="shared" ref="G40:S40" si="24">SUM(G31:G39)</f>
        <v>8996.2448453733341</v>
      </c>
      <c r="H40" s="6">
        <f t="shared" si="24"/>
        <v>4463.8040705563635</v>
      </c>
      <c r="I40" s="6">
        <f t="shared" si="24"/>
        <v>4463.8040705563635</v>
      </c>
      <c r="J40" s="6">
        <f t="shared" si="24"/>
        <v>4463.8040705563635</v>
      </c>
      <c r="K40" s="6">
        <f t="shared" si="24"/>
        <v>4463.8040705563635</v>
      </c>
      <c r="L40" s="6">
        <f t="shared" si="24"/>
        <v>4797.1374038896965</v>
      </c>
      <c r="M40" s="6">
        <f t="shared" si="24"/>
        <v>4463.8040705563635</v>
      </c>
      <c r="N40" s="6">
        <f t="shared" si="24"/>
        <v>4463.8040705563635</v>
      </c>
      <c r="O40" s="6">
        <f t="shared" si="24"/>
        <v>4463.8040705563635</v>
      </c>
      <c r="P40" s="6">
        <f t="shared" si="24"/>
        <v>4463.8040705563635</v>
      </c>
      <c r="Q40" s="6">
        <f t="shared" si="24"/>
        <v>4463.8040705563635</v>
      </c>
      <c r="R40" s="6">
        <f t="shared" si="24"/>
        <v>2695.945563889697</v>
      </c>
      <c r="S40" s="6">
        <f t="shared" si="24"/>
        <v>56663.564448160003</v>
      </c>
    </row>
    <row r="41" spans="2:19" ht="15" x14ac:dyDescent="0.35">
      <c r="B41" s="5" t="s">
        <v>18</v>
      </c>
      <c r="C41" s="5"/>
      <c r="D41" s="5"/>
      <c r="E41" s="9"/>
      <c r="F41" s="6">
        <v>994353.84713871998</v>
      </c>
      <c r="G41" s="6">
        <f t="shared" ref="G41:S41" si="25">SUM(G40,G30,G25)</f>
        <v>76791.975438360474</v>
      </c>
      <c r="H41" s="6">
        <f t="shared" si="25"/>
        <v>84673.686221014927</v>
      </c>
      <c r="I41" s="6">
        <f t="shared" si="25"/>
        <v>84673.686221014927</v>
      </c>
      <c r="J41" s="6">
        <f t="shared" si="25"/>
        <v>84673.686221014927</v>
      </c>
      <c r="K41" s="6">
        <f t="shared" si="25"/>
        <v>84673.686221014927</v>
      </c>
      <c r="L41" s="6">
        <f t="shared" si="25"/>
        <v>85007.019554348255</v>
      </c>
      <c r="M41" s="6">
        <f t="shared" si="25"/>
        <v>84673.686221014927</v>
      </c>
      <c r="N41" s="6">
        <f t="shared" si="25"/>
        <v>84673.686221014927</v>
      </c>
      <c r="O41" s="6">
        <f t="shared" si="25"/>
        <v>84673.686221014927</v>
      </c>
      <c r="P41" s="6">
        <f t="shared" si="25"/>
        <v>84673.686221014927</v>
      </c>
      <c r="Q41" s="6">
        <f t="shared" si="25"/>
        <v>84673.686221014927</v>
      </c>
      <c r="R41" s="6">
        <f t="shared" si="25"/>
        <v>70491.676156876842</v>
      </c>
      <c r="S41" s="6">
        <f t="shared" si="25"/>
        <v>994353.84713871998</v>
      </c>
    </row>
    <row r="43" spans="2:19" x14ac:dyDescent="0.2">
      <c r="B43" s="5" t="s">
        <v>66</v>
      </c>
    </row>
    <row r="44" spans="2:19" ht="15" x14ac:dyDescent="0.35">
      <c r="B44" s="5"/>
      <c r="C44" t="s">
        <v>109</v>
      </c>
      <c r="F44" s="4">
        <v>42978.923999999999</v>
      </c>
      <c r="G44" s="4">
        <f>+F44/12</f>
        <v>3581.5769999999998</v>
      </c>
      <c r="H44" s="4">
        <f>+G44</f>
        <v>3581.5769999999998</v>
      </c>
      <c r="I44" s="4">
        <f t="shared" ref="I44:R44" si="26">+H44</f>
        <v>3581.5769999999998</v>
      </c>
      <c r="J44" s="4">
        <f t="shared" si="26"/>
        <v>3581.5769999999998</v>
      </c>
      <c r="K44" s="4">
        <f t="shared" si="26"/>
        <v>3581.5769999999998</v>
      </c>
      <c r="L44" s="4">
        <f t="shared" si="26"/>
        <v>3581.5769999999998</v>
      </c>
      <c r="M44" s="4">
        <f t="shared" si="26"/>
        <v>3581.5769999999998</v>
      </c>
      <c r="N44" s="4">
        <f t="shared" si="26"/>
        <v>3581.5769999999998</v>
      </c>
      <c r="O44" s="4">
        <f t="shared" si="26"/>
        <v>3581.5769999999998</v>
      </c>
      <c r="P44" s="4">
        <f t="shared" si="26"/>
        <v>3581.5769999999998</v>
      </c>
      <c r="Q44" s="4">
        <f t="shared" si="26"/>
        <v>3581.5769999999998</v>
      </c>
      <c r="R44" s="4">
        <f t="shared" si="26"/>
        <v>3581.5769999999998</v>
      </c>
      <c r="S44" s="4">
        <f>SUM(G44:R44)</f>
        <v>42978.923999999999</v>
      </c>
    </row>
    <row r="45" spans="2:19" ht="15" hidden="1" x14ac:dyDescent="0.35">
      <c r="B45" s="5"/>
      <c r="C45" t="s">
        <v>114</v>
      </c>
      <c r="F45" s="4">
        <v>0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2:19" ht="15" x14ac:dyDescent="0.35">
      <c r="B46" s="5"/>
      <c r="D46" s="5" t="s">
        <v>110</v>
      </c>
      <c r="F46" s="6">
        <v>42978.923999999999</v>
      </c>
      <c r="G46" s="6">
        <f>SUM(G44)</f>
        <v>3581.5769999999998</v>
      </c>
      <c r="H46" s="6">
        <f t="shared" ref="H46:S46" si="27">SUM(H44)</f>
        <v>3581.5769999999998</v>
      </c>
      <c r="I46" s="6">
        <f t="shared" si="27"/>
        <v>3581.5769999999998</v>
      </c>
      <c r="J46" s="6">
        <f t="shared" si="27"/>
        <v>3581.5769999999998</v>
      </c>
      <c r="K46" s="6">
        <f t="shared" si="27"/>
        <v>3581.5769999999998</v>
      </c>
      <c r="L46" s="6">
        <f t="shared" si="27"/>
        <v>3581.5769999999998</v>
      </c>
      <c r="M46" s="6">
        <f t="shared" si="27"/>
        <v>3581.5769999999998</v>
      </c>
      <c r="N46" s="6">
        <f t="shared" si="27"/>
        <v>3581.5769999999998</v>
      </c>
      <c r="O46" s="6">
        <f t="shared" si="27"/>
        <v>3581.5769999999998</v>
      </c>
      <c r="P46" s="6">
        <f t="shared" si="27"/>
        <v>3581.5769999999998</v>
      </c>
      <c r="Q46" s="6">
        <f t="shared" si="27"/>
        <v>3581.5769999999998</v>
      </c>
      <c r="R46" s="6">
        <f t="shared" si="27"/>
        <v>3581.5769999999998</v>
      </c>
      <c r="S46" s="6">
        <f t="shared" si="27"/>
        <v>42978.923999999999</v>
      </c>
    </row>
    <row r="47" spans="2:19" x14ac:dyDescent="0.2">
      <c r="B47" s="5"/>
      <c r="C47" t="s">
        <v>7</v>
      </c>
      <c r="E47" s="13">
        <v>1.4999999999999999E-2</v>
      </c>
      <c r="F47" s="14">
        <v>644.68385999999998</v>
      </c>
      <c r="G47" s="14">
        <f>+$F47/$F$46*G$46</f>
        <v>53.723654999999994</v>
      </c>
      <c r="H47" s="14">
        <f t="shared" ref="H47:R47" si="28">+$F47/$F$46*H$46</f>
        <v>53.723654999999994</v>
      </c>
      <c r="I47" s="14">
        <f t="shared" si="28"/>
        <v>53.723654999999994</v>
      </c>
      <c r="J47" s="14">
        <f t="shared" si="28"/>
        <v>53.723654999999994</v>
      </c>
      <c r="K47" s="14">
        <f t="shared" si="28"/>
        <v>53.723654999999994</v>
      </c>
      <c r="L47" s="14">
        <f t="shared" si="28"/>
        <v>53.723654999999994</v>
      </c>
      <c r="M47" s="14">
        <f t="shared" si="28"/>
        <v>53.723654999999994</v>
      </c>
      <c r="N47" s="14">
        <f t="shared" si="28"/>
        <v>53.723654999999994</v>
      </c>
      <c r="O47" s="14">
        <f t="shared" si="28"/>
        <v>53.723654999999994</v>
      </c>
      <c r="P47" s="14">
        <f t="shared" si="28"/>
        <v>53.723654999999994</v>
      </c>
      <c r="Q47" s="14">
        <f t="shared" si="28"/>
        <v>53.723654999999994</v>
      </c>
      <c r="R47" s="14">
        <f t="shared" si="28"/>
        <v>53.723654999999994</v>
      </c>
      <c r="S47" s="14">
        <f>SUM(G47:R47)</f>
        <v>644.68385999999998</v>
      </c>
    </row>
    <row r="48" spans="2:19" x14ac:dyDescent="0.2">
      <c r="B48" s="5"/>
      <c r="C48" t="s">
        <v>8</v>
      </c>
      <c r="E48" s="3" t="s">
        <v>52</v>
      </c>
      <c r="F48" s="14">
        <v>3476.887686</v>
      </c>
      <c r="G48" s="14">
        <f t="shared" ref="G48:R50" si="29">+$F48/$F$46*G$46</f>
        <v>289.74064049999998</v>
      </c>
      <c r="H48" s="14">
        <f t="shared" si="29"/>
        <v>289.74064049999998</v>
      </c>
      <c r="I48" s="14">
        <f t="shared" si="29"/>
        <v>289.74064049999998</v>
      </c>
      <c r="J48" s="14">
        <f t="shared" si="29"/>
        <v>289.74064049999998</v>
      </c>
      <c r="K48" s="14">
        <f t="shared" si="29"/>
        <v>289.74064049999998</v>
      </c>
      <c r="L48" s="14">
        <f t="shared" si="29"/>
        <v>289.74064049999998</v>
      </c>
      <c r="M48" s="14">
        <f t="shared" si="29"/>
        <v>289.74064049999998</v>
      </c>
      <c r="N48" s="14">
        <f t="shared" si="29"/>
        <v>289.74064049999998</v>
      </c>
      <c r="O48" s="14">
        <f t="shared" si="29"/>
        <v>289.74064049999998</v>
      </c>
      <c r="P48" s="14">
        <f t="shared" si="29"/>
        <v>289.74064049999998</v>
      </c>
      <c r="Q48" s="14">
        <f t="shared" si="29"/>
        <v>289.74064049999998</v>
      </c>
      <c r="R48" s="14">
        <f t="shared" si="29"/>
        <v>289.74064049999998</v>
      </c>
      <c r="S48" s="14">
        <f>SUM(G48:R48)</f>
        <v>3476.8876860000005</v>
      </c>
    </row>
    <row r="49" spans="2:19" x14ac:dyDescent="0.2">
      <c r="B49" s="5"/>
      <c r="C49" t="s">
        <v>9</v>
      </c>
      <c r="E49" s="3" t="str">
        <f>CONCATENATE(ins," per month per employee")</f>
        <v>266.666666666666 per month per employee</v>
      </c>
      <c r="F49" s="14">
        <v>3183.6239999999998</v>
      </c>
      <c r="G49" s="14">
        <f t="shared" si="29"/>
        <v>265.30199999999996</v>
      </c>
      <c r="H49" s="14">
        <f t="shared" si="29"/>
        <v>265.30199999999996</v>
      </c>
      <c r="I49" s="14">
        <f t="shared" si="29"/>
        <v>265.30199999999996</v>
      </c>
      <c r="J49" s="14">
        <f t="shared" si="29"/>
        <v>265.30199999999996</v>
      </c>
      <c r="K49" s="14">
        <f t="shared" si="29"/>
        <v>265.30199999999996</v>
      </c>
      <c r="L49" s="14">
        <f t="shared" si="29"/>
        <v>265.30199999999996</v>
      </c>
      <c r="M49" s="14">
        <f t="shared" si="29"/>
        <v>265.30199999999996</v>
      </c>
      <c r="N49" s="14">
        <f t="shared" si="29"/>
        <v>265.30199999999996</v>
      </c>
      <c r="O49" s="14">
        <f t="shared" si="29"/>
        <v>265.30199999999996</v>
      </c>
      <c r="P49" s="14">
        <f t="shared" si="29"/>
        <v>265.30199999999996</v>
      </c>
      <c r="Q49" s="14">
        <f t="shared" si="29"/>
        <v>265.30199999999996</v>
      </c>
      <c r="R49" s="14">
        <f t="shared" si="29"/>
        <v>265.30199999999996</v>
      </c>
      <c r="S49" s="14">
        <f>SUM(G49:R49)</f>
        <v>3183.6240000000003</v>
      </c>
    </row>
    <row r="50" spans="2:19" ht="15" x14ac:dyDescent="0.35">
      <c r="B50" s="5"/>
      <c r="C50" t="s">
        <v>10</v>
      </c>
      <c r="E50" s="11" t="s">
        <v>53</v>
      </c>
      <c r="F50" s="4">
        <v>429.78924000000001</v>
      </c>
      <c r="G50" s="4">
        <f t="shared" si="29"/>
        <v>35.815770000000001</v>
      </c>
      <c r="H50" s="4">
        <f t="shared" si="29"/>
        <v>35.815770000000001</v>
      </c>
      <c r="I50" s="4">
        <f t="shared" si="29"/>
        <v>35.815770000000001</v>
      </c>
      <c r="J50" s="4">
        <f t="shared" si="29"/>
        <v>35.815770000000001</v>
      </c>
      <c r="K50" s="4">
        <f t="shared" si="29"/>
        <v>35.815770000000001</v>
      </c>
      <c r="L50" s="4">
        <f t="shared" si="29"/>
        <v>35.815770000000001</v>
      </c>
      <c r="M50" s="4">
        <f t="shared" si="29"/>
        <v>35.815770000000001</v>
      </c>
      <c r="N50" s="4">
        <f t="shared" si="29"/>
        <v>35.815770000000001</v>
      </c>
      <c r="O50" s="4">
        <f t="shared" si="29"/>
        <v>35.815770000000001</v>
      </c>
      <c r="P50" s="4">
        <f t="shared" si="29"/>
        <v>35.815770000000001</v>
      </c>
      <c r="Q50" s="4">
        <f t="shared" si="29"/>
        <v>35.815770000000001</v>
      </c>
      <c r="R50" s="4">
        <f t="shared" si="29"/>
        <v>35.815770000000001</v>
      </c>
      <c r="S50" s="4">
        <f>SUM(G50:R50)</f>
        <v>429.78923999999989</v>
      </c>
    </row>
    <row r="51" spans="2:19" ht="15" x14ac:dyDescent="0.35">
      <c r="B51" s="5"/>
      <c r="D51" s="5" t="s">
        <v>111</v>
      </c>
      <c r="F51" s="6">
        <v>7734.984786</v>
      </c>
      <c r="G51" s="6">
        <f>SUM(G47:G50)</f>
        <v>644.5820655</v>
      </c>
      <c r="H51" s="6">
        <f t="shared" ref="H51:S51" si="30">SUM(H47:H50)</f>
        <v>644.5820655</v>
      </c>
      <c r="I51" s="6">
        <f t="shared" si="30"/>
        <v>644.5820655</v>
      </c>
      <c r="J51" s="6">
        <f t="shared" si="30"/>
        <v>644.5820655</v>
      </c>
      <c r="K51" s="6">
        <f t="shared" si="30"/>
        <v>644.5820655</v>
      </c>
      <c r="L51" s="6">
        <f t="shared" si="30"/>
        <v>644.5820655</v>
      </c>
      <c r="M51" s="6">
        <f t="shared" si="30"/>
        <v>644.5820655</v>
      </c>
      <c r="N51" s="6">
        <f t="shared" si="30"/>
        <v>644.5820655</v>
      </c>
      <c r="O51" s="6">
        <f t="shared" si="30"/>
        <v>644.5820655</v>
      </c>
      <c r="P51" s="6">
        <f t="shared" si="30"/>
        <v>644.5820655</v>
      </c>
      <c r="Q51" s="6">
        <f t="shared" si="30"/>
        <v>644.5820655</v>
      </c>
      <c r="R51" s="6">
        <f t="shared" si="30"/>
        <v>644.5820655</v>
      </c>
      <c r="S51" s="6">
        <f t="shared" si="30"/>
        <v>7734.9847860000009</v>
      </c>
    </row>
    <row r="52" spans="2:19" ht="15" x14ac:dyDescent="0.35">
      <c r="B52" s="5"/>
      <c r="C52" t="s">
        <v>13</v>
      </c>
      <c r="E52" s="3" t="s">
        <v>72</v>
      </c>
      <c r="F52" s="4">
        <v>5093.7983999999997</v>
      </c>
      <c r="G52" s="4">
        <f>+F52/4</f>
        <v>1273.4495999999999</v>
      </c>
      <c r="H52" s="4">
        <f>+(F52-G52)/11</f>
        <v>347.30443636363634</v>
      </c>
      <c r="I52" s="4">
        <f>+H52</f>
        <v>347.30443636363634</v>
      </c>
      <c r="J52" s="4">
        <f t="shared" ref="J52:R52" si="31">+I52</f>
        <v>347.30443636363634</v>
      </c>
      <c r="K52" s="4">
        <f t="shared" si="31"/>
        <v>347.30443636363634</v>
      </c>
      <c r="L52" s="4">
        <f t="shared" si="31"/>
        <v>347.30443636363634</v>
      </c>
      <c r="M52" s="4">
        <f t="shared" si="31"/>
        <v>347.30443636363634</v>
      </c>
      <c r="N52" s="4">
        <f t="shared" si="31"/>
        <v>347.30443636363634</v>
      </c>
      <c r="O52" s="4">
        <f t="shared" si="31"/>
        <v>347.30443636363634</v>
      </c>
      <c r="P52" s="4">
        <f t="shared" si="31"/>
        <v>347.30443636363634</v>
      </c>
      <c r="Q52" s="4">
        <f t="shared" si="31"/>
        <v>347.30443636363634</v>
      </c>
      <c r="R52" s="4">
        <f t="shared" si="31"/>
        <v>347.30443636363634</v>
      </c>
      <c r="S52" s="4">
        <f>SUM(G52:R52)</f>
        <v>5093.7983999999997</v>
      </c>
    </row>
    <row r="53" spans="2:19" ht="15" x14ac:dyDescent="0.35">
      <c r="B53" s="5"/>
      <c r="D53" s="5" t="s">
        <v>112</v>
      </c>
      <c r="F53" s="6">
        <v>5093.7983999999997</v>
      </c>
      <c r="G53" s="6">
        <f>SUM(G52)</f>
        <v>1273.4495999999999</v>
      </c>
      <c r="H53" s="6">
        <f t="shared" ref="H53:S53" si="32">SUM(H52)</f>
        <v>347.30443636363634</v>
      </c>
      <c r="I53" s="6">
        <f t="shared" si="32"/>
        <v>347.30443636363634</v>
      </c>
      <c r="J53" s="6">
        <f t="shared" si="32"/>
        <v>347.30443636363634</v>
      </c>
      <c r="K53" s="6">
        <f t="shared" si="32"/>
        <v>347.30443636363634</v>
      </c>
      <c r="L53" s="6">
        <f t="shared" si="32"/>
        <v>347.30443636363634</v>
      </c>
      <c r="M53" s="6">
        <f t="shared" si="32"/>
        <v>347.30443636363634</v>
      </c>
      <c r="N53" s="6">
        <f t="shared" si="32"/>
        <v>347.30443636363634</v>
      </c>
      <c r="O53" s="6">
        <f t="shared" si="32"/>
        <v>347.30443636363634</v>
      </c>
      <c r="P53" s="6">
        <f t="shared" si="32"/>
        <v>347.30443636363634</v>
      </c>
      <c r="Q53" s="6">
        <f t="shared" si="32"/>
        <v>347.30443636363634</v>
      </c>
      <c r="R53" s="6">
        <f t="shared" si="32"/>
        <v>347.30443636363634</v>
      </c>
      <c r="S53" s="6">
        <f t="shared" si="32"/>
        <v>5093.7983999999997</v>
      </c>
    </row>
    <row r="54" spans="2:19" ht="15" x14ac:dyDescent="0.35">
      <c r="B54" s="5" t="s">
        <v>84</v>
      </c>
      <c r="F54" s="6">
        <v>55807.707186</v>
      </c>
      <c r="G54" s="6">
        <f>+G46+G51+G53</f>
        <v>5499.6086654999999</v>
      </c>
      <c r="H54" s="6">
        <f t="shared" ref="H54:S54" si="33">+H46+H51+H53</f>
        <v>4573.4635018636363</v>
      </c>
      <c r="I54" s="6">
        <f t="shared" si="33"/>
        <v>4573.4635018636363</v>
      </c>
      <c r="J54" s="6">
        <f t="shared" si="33"/>
        <v>4573.4635018636363</v>
      </c>
      <c r="K54" s="6">
        <f t="shared" si="33"/>
        <v>4573.4635018636363</v>
      </c>
      <c r="L54" s="6">
        <f t="shared" si="33"/>
        <v>4573.4635018636363</v>
      </c>
      <c r="M54" s="6">
        <f t="shared" si="33"/>
        <v>4573.4635018636363</v>
      </c>
      <c r="N54" s="6">
        <f t="shared" si="33"/>
        <v>4573.4635018636363</v>
      </c>
      <c r="O54" s="6">
        <f t="shared" si="33"/>
        <v>4573.4635018636363</v>
      </c>
      <c r="P54" s="6">
        <f t="shared" si="33"/>
        <v>4573.4635018636363</v>
      </c>
      <c r="Q54" s="6">
        <f t="shared" si="33"/>
        <v>4573.4635018636363</v>
      </c>
      <c r="R54" s="6">
        <f t="shared" si="33"/>
        <v>4573.4635018636363</v>
      </c>
      <c r="S54" s="6">
        <f t="shared" si="33"/>
        <v>55807.707186</v>
      </c>
    </row>
    <row r="55" spans="2:19" ht="15" x14ac:dyDescent="0.35">
      <c r="B55" s="5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2:19" x14ac:dyDescent="0.2">
      <c r="B56" s="5" t="s">
        <v>117</v>
      </c>
    </row>
    <row r="57" spans="2:19" ht="15" x14ac:dyDescent="0.35">
      <c r="B57" s="5"/>
      <c r="C57" t="s">
        <v>118</v>
      </c>
      <c r="F57" s="4">
        <v>42978.923999999999</v>
      </c>
      <c r="G57" s="4">
        <f>+F57/12</f>
        <v>3581.5769999999998</v>
      </c>
      <c r="H57" s="4">
        <f>+G57</f>
        <v>3581.5769999999998</v>
      </c>
      <c r="I57" s="4">
        <f t="shared" ref="I57:R57" si="34">+H57</f>
        <v>3581.5769999999998</v>
      </c>
      <c r="J57" s="4">
        <f t="shared" si="34"/>
        <v>3581.5769999999998</v>
      </c>
      <c r="K57" s="4">
        <f t="shared" si="34"/>
        <v>3581.5769999999998</v>
      </c>
      <c r="L57" s="4">
        <f t="shared" si="34"/>
        <v>3581.5769999999998</v>
      </c>
      <c r="M57" s="4">
        <f t="shared" si="34"/>
        <v>3581.5769999999998</v>
      </c>
      <c r="N57" s="4">
        <f t="shared" si="34"/>
        <v>3581.5769999999998</v>
      </c>
      <c r="O57" s="4">
        <f t="shared" si="34"/>
        <v>3581.5769999999998</v>
      </c>
      <c r="P57" s="4">
        <f t="shared" si="34"/>
        <v>3581.5769999999998</v>
      </c>
      <c r="Q57" s="4">
        <f t="shared" si="34"/>
        <v>3581.5769999999998</v>
      </c>
      <c r="R57" s="4">
        <f t="shared" si="34"/>
        <v>3581.5769999999998</v>
      </c>
      <c r="S57" s="4">
        <f>SUM(G57:R57)</f>
        <v>42978.923999999999</v>
      </c>
    </row>
    <row r="58" spans="2:19" ht="15" hidden="1" x14ac:dyDescent="0.35">
      <c r="B58" s="5"/>
      <c r="C58" t="s">
        <v>114</v>
      </c>
      <c r="F58" s="4">
        <v>0</v>
      </c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2:19" ht="15" x14ac:dyDescent="0.35">
      <c r="B59" s="5"/>
      <c r="D59" s="5" t="s">
        <v>121</v>
      </c>
      <c r="F59" s="6">
        <v>42978.923999999999</v>
      </c>
      <c r="G59" s="6">
        <f>SUM(G57)</f>
        <v>3581.5769999999998</v>
      </c>
      <c r="H59" s="6">
        <f t="shared" ref="H59:S59" si="35">SUM(H57)</f>
        <v>3581.5769999999998</v>
      </c>
      <c r="I59" s="6">
        <f t="shared" si="35"/>
        <v>3581.5769999999998</v>
      </c>
      <c r="J59" s="6">
        <f t="shared" si="35"/>
        <v>3581.5769999999998</v>
      </c>
      <c r="K59" s="6">
        <f t="shared" si="35"/>
        <v>3581.5769999999998</v>
      </c>
      <c r="L59" s="6">
        <f t="shared" si="35"/>
        <v>3581.5769999999998</v>
      </c>
      <c r="M59" s="6">
        <f t="shared" si="35"/>
        <v>3581.5769999999998</v>
      </c>
      <c r="N59" s="6">
        <f t="shared" si="35"/>
        <v>3581.5769999999998</v>
      </c>
      <c r="O59" s="6">
        <f t="shared" si="35"/>
        <v>3581.5769999999998</v>
      </c>
      <c r="P59" s="6">
        <f t="shared" si="35"/>
        <v>3581.5769999999998</v>
      </c>
      <c r="Q59" s="6">
        <f t="shared" si="35"/>
        <v>3581.5769999999998</v>
      </c>
      <c r="R59" s="6">
        <f t="shared" si="35"/>
        <v>3581.5769999999998</v>
      </c>
      <c r="S59" s="6">
        <f t="shared" si="35"/>
        <v>42978.923999999999</v>
      </c>
    </row>
    <row r="60" spans="2:19" x14ac:dyDescent="0.2">
      <c r="B60" s="5"/>
      <c r="C60" t="s">
        <v>7</v>
      </c>
      <c r="E60" s="13">
        <v>1.4999999999999999E-2</v>
      </c>
      <c r="F60" s="14">
        <v>644.68385999999998</v>
      </c>
      <c r="G60" s="14">
        <f>+$F60/$F$59*G$59</f>
        <v>53.723654999999994</v>
      </c>
      <c r="H60" s="14">
        <f t="shared" ref="H60:R60" si="36">+$F60/$F$59*H$59</f>
        <v>53.723654999999994</v>
      </c>
      <c r="I60" s="14">
        <f t="shared" si="36"/>
        <v>53.723654999999994</v>
      </c>
      <c r="J60" s="14">
        <f t="shared" si="36"/>
        <v>53.723654999999994</v>
      </c>
      <c r="K60" s="14">
        <f t="shared" si="36"/>
        <v>53.723654999999994</v>
      </c>
      <c r="L60" s="14">
        <f t="shared" si="36"/>
        <v>53.723654999999994</v>
      </c>
      <c r="M60" s="14">
        <f t="shared" si="36"/>
        <v>53.723654999999994</v>
      </c>
      <c r="N60" s="14">
        <f t="shared" si="36"/>
        <v>53.723654999999994</v>
      </c>
      <c r="O60" s="14">
        <f t="shared" si="36"/>
        <v>53.723654999999994</v>
      </c>
      <c r="P60" s="14">
        <f t="shared" si="36"/>
        <v>53.723654999999994</v>
      </c>
      <c r="Q60" s="14">
        <f t="shared" si="36"/>
        <v>53.723654999999994</v>
      </c>
      <c r="R60" s="14">
        <f t="shared" si="36"/>
        <v>53.723654999999994</v>
      </c>
      <c r="S60" s="14">
        <f>SUM(G60:R60)</f>
        <v>644.68385999999998</v>
      </c>
    </row>
    <row r="61" spans="2:19" x14ac:dyDescent="0.2">
      <c r="B61" s="5"/>
      <c r="C61" t="s">
        <v>8</v>
      </c>
      <c r="E61" s="3" t="s">
        <v>52</v>
      </c>
      <c r="F61" s="14">
        <v>3476.887686</v>
      </c>
      <c r="G61" s="14">
        <f t="shared" ref="G61:R63" si="37">+$F61/$F$46*G$46</f>
        <v>289.74064049999998</v>
      </c>
      <c r="H61" s="14">
        <f t="shared" si="37"/>
        <v>289.74064049999998</v>
      </c>
      <c r="I61" s="14">
        <f t="shared" si="37"/>
        <v>289.74064049999998</v>
      </c>
      <c r="J61" s="14">
        <f t="shared" si="37"/>
        <v>289.74064049999998</v>
      </c>
      <c r="K61" s="14">
        <f t="shared" si="37"/>
        <v>289.74064049999998</v>
      </c>
      <c r="L61" s="14">
        <f t="shared" si="37"/>
        <v>289.74064049999998</v>
      </c>
      <c r="M61" s="14">
        <f t="shared" si="37"/>
        <v>289.74064049999998</v>
      </c>
      <c r="N61" s="14">
        <f t="shared" si="37"/>
        <v>289.74064049999998</v>
      </c>
      <c r="O61" s="14">
        <f t="shared" si="37"/>
        <v>289.74064049999998</v>
      </c>
      <c r="P61" s="14">
        <f t="shared" si="37"/>
        <v>289.74064049999998</v>
      </c>
      <c r="Q61" s="14">
        <f t="shared" si="37"/>
        <v>289.74064049999998</v>
      </c>
      <c r="R61" s="14">
        <f t="shared" si="37"/>
        <v>289.74064049999998</v>
      </c>
      <c r="S61" s="14">
        <f>SUM(G61:R61)</f>
        <v>3476.8876860000005</v>
      </c>
    </row>
    <row r="62" spans="2:19" x14ac:dyDescent="0.2">
      <c r="B62" s="5"/>
      <c r="C62" t="s">
        <v>9</v>
      </c>
      <c r="E62" s="3" t="str">
        <f>CONCATENATE(ins," per month per employee")</f>
        <v>266.666666666666 per month per employee</v>
      </c>
      <c r="F62" s="14">
        <v>3183.6239999999998</v>
      </c>
      <c r="G62" s="14">
        <f t="shared" si="37"/>
        <v>265.30199999999996</v>
      </c>
      <c r="H62" s="14">
        <f t="shared" si="37"/>
        <v>265.30199999999996</v>
      </c>
      <c r="I62" s="14">
        <f t="shared" si="37"/>
        <v>265.30199999999996</v>
      </c>
      <c r="J62" s="14">
        <f t="shared" si="37"/>
        <v>265.30199999999996</v>
      </c>
      <c r="K62" s="14">
        <f t="shared" si="37"/>
        <v>265.30199999999996</v>
      </c>
      <c r="L62" s="14">
        <f t="shared" si="37"/>
        <v>265.30199999999996</v>
      </c>
      <c r="M62" s="14">
        <f t="shared" si="37"/>
        <v>265.30199999999996</v>
      </c>
      <c r="N62" s="14">
        <f t="shared" si="37"/>
        <v>265.30199999999996</v>
      </c>
      <c r="O62" s="14">
        <f t="shared" si="37"/>
        <v>265.30199999999996</v>
      </c>
      <c r="P62" s="14">
        <f t="shared" si="37"/>
        <v>265.30199999999996</v>
      </c>
      <c r="Q62" s="14">
        <f t="shared" si="37"/>
        <v>265.30199999999996</v>
      </c>
      <c r="R62" s="14">
        <f t="shared" si="37"/>
        <v>265.30199999999996</v>
      </c>
      <c r="S62" s="14">
        <f>SUM(G62:R62)</f>
        <v>3183.6240000000003</v>
      </c>
    </row>
    <row r="63" spans="2:19" ht="15" x14ac:dyDescent="0.35">
      <c r="B63" s="5"/>
      <c r="C63" t="s">
        <v>10</v>
      </c>
      <c r="E63" s="11" t="s">
        <v>53</v>
      </c>
      <c r="F63" s="4">
        <v>429.78924000000001</v>
      </c>
      <c r="G63" s="4">
        <f t="shared" si="37"/>
        <v>35.815770000000001</v>
      </c>
      <c r="H63" s="4">
        <f t="shared" si="37"/>
        <v>35.815770000000001</v>
      </c>
      <c r="I63" s="4">
        <f t="shared" si="37"/>
        <v>35.815770000000001</v>
      </c>
      <c r="J63" s="4">
        <f t="shared" si="37"/>
        <v>35.815770000000001</v>
      </c>
      <c r="K63" s="4">
        <f t="shared" si="37"/>
        <v>35.815770000000001</v>
      </c>
      <c r="L63" s="4">
        <f t="shared" si="37"/>
        <v>35.815770000000001</v>
      </c>
      <c r="M63" s="4">
        <f t="shared" si="37"/>
        <v>35.815770000000001</v>
      </c>
      <c r="N63" s="4">
        <f t="shared" si="37"/>
        <v>35.815770000000001</v>
      </c>
      <c r="O63" s="4">
        <f t="shared" si="37"/>
        <v>35.815770000000001</v>
      </c>
      <c r="P63" s="4">
        <f t="shared" si="37"/>
        <v>35.815770000000001</v>
      </c>
      <c r="Q63" s="4">
        <f t="shared" si="37"/>
        <v>35.815770000000001</v>
      </c>
      <c r="R63" s="4">
        <f t="shared" si="37"/>
        <v>35.815770000000001</v>
      </c>
      <c r="S63" s="4">
        <f>SUM(G63:R63)</f>
        <v>429.78923999999989</v>
      </c>
    </row>
    <row r="64" spans="2:19" ht="15" x14ac:dyDescent="0.35">
      <c r="B64" s="5"/>
      <c r="D64" s="5" t="s">
        <v>122</v>
      </c>
      <c r="F64" s="6">
        <v>7734.984786</v>
      </c>
      <c r="G64" s="6">
        <f t="shared" ref="G64:S64" si="38">SUM(G60:G63)</f>
        <v>644.5820655</v>
      </c>
      <c r="H64" s="6">
        <f t="shared" si="38"/>
        <v>644.5820655</v>
      </c>
      <c r="I64" s="6">
        <f t="shared" si="38"/>
        <v>644.5820655</v>
      </c>
      <c r="J64" s="6">
        <f t="shared" si="38"/>
        <v>644.5820655</v>
      </c>
      <c r="K64" s="6">
        <f t="shared" si="38"/>
        <v>644.5820655</v>
      </c>
      <c r="L64" s="6">
        <f t="shared" si="38"/>
        <v>644.5820655</v>
      </c>
      <c r="M64" s="6">
        <f t="shared" si="38"/>
        <v>644.5820655</v>
      </c>
      <c r="N64" s="6">
        <f t="shared" si="38"/>
        <v>644.5820655</v>
      </c>
      <c r="O64" s="6">
        <f t="shared" si="38"/>
        <v>644.5820655</v>
      </c>
      <c r="P64" s="6">
        <f t="shared" si="38"/>
        <v>644.5820655</v>
      </c>
      <c r="Q64" s="6">
        <f t="shared" si="38"/>
        <v>644.5820655</v>
      </c>
      <c r="R64" s="6">
        <f t="shared" si="38"/>
        <v>644.5820655</v>
      </c>
      <c r="S64" s="6">
        <f t="shared" si="38"/>
        <v>7734.9847860000009</v>
      </c>
    </row>
    <row r="65" spans="2:19" x14ac:dyDescent="0.2">
      <c r="B65" s="5"/>
      <c r="C65" t="s">
        <v>13</v>
      </c>
      <c r="D65" s="5"/>
      <c r="F65" s="14">
        <v>3183.6239999999998</v>
      </c>
      <c r="G65" s="14">
        <f>+F65/4</f>
        <v>795.90599999999995</v>
      </c>
      <c r="H65" s="14">
        <f>+(F65-G65)/11</f>
        <v>217.06527272727271</v>
      </c>
      <c r="I65" s="14">
        <f t="shared" ref="I65:R67" si="39">+H65</f>
        <v>217.06527272727271</v>
      </c>
      <c r="J65" s="14">
        <f t="shared" si="39"/>
        <v>217.06527272727271</v>
      </c>
      <c r="K65" s="14">
        <f t="shared" si="39"/>
        <v>217.06527272727271</v>
      </c>
      <c r="L65" s="14">
        <f t="shared" si="39"/>
        <v>217.06527272727271</v>
      </c>
      <c r="M65" s="14">
        <f t="shared" si="39"/>
        <v>217.06527272727271</v>
      </c>
      <c r="N65" s="14">
        <f t="shared" si="39"/>
        <v>217.06527272727271</v>
      </c>
      <c r="O65" s="14">
        <f t="shared" si="39"/>
        <v>217.06527272727271</v>
      </c>
      <c r="P65" s="14">
        <f t="shared" si="39"/>
        <v>217.06527272727271</v>
      </c>
      <c r="Q65" s="14">
        <f t="shared" si="39"/>
        <v>217.06527272727271</v>
      </c>
      <c r="R65" s="14">
        <f t="shared" si="39"/>
        <v>217.06527272727271</v>
      </c>
      <c r="S65" s="14">
        <f>SUM(G65:R65)</f>
        <v>3183.6239999999998</v>
      </c>
    </row>
    <row r="66" spans="2:19" x14ac:dyDescent="0.2">
      <c r="B66" s="5"/>
      <c r="C66" t="s">
        <v>120</v>
      </c>
      <c r="D66" s="5"/>
      <c r="F66" s="14">
        <v>955.08719999999994</v>
      </c>
      <c r="G66" s="14">
        <f>+F66/4</f>
        <v>238.77179999999998</v>
      </c>
      <c r="H66" s="14">
        <f>+(F66-G66)/11</f>
        <v>65.119581818181814</v>
      </c>
      <c r="I66" s="14">
        <f t="shared" si="39"/>
        <v>65.119581818181814</v>
      </c>
      <c r="J66" s="14">
        <f t="shared" si="39"/>
        <v>65.119581818181814</v>
      </c>
      <c r="K66" s="14">
        <f t="shared" si="39"/>
        <v>65.119581818181814</v>
      </c>
      <c r="L66" s="14">
        <f t="shared" si="39"/>
        <v>65.119581818181814</v>
      </c>
      <c r="M66" s="14">
        <f t="shared" si="39"/>
        <v>65.119581818181814</v>
      </c>
      <c r="N66" s="14">
        <f t="shared" si="39"/>
        <v>65.119581818181814</v>
      </c>
      <c r="O66" s="14">
        <f t="shared" si="39"/>
        <v>65.119581818181814</v>
      </c>
      <c r="P66" s="14">
        <f t="shared" si="39"/>
        <v>65.119581818181814</v>
      </c>
      <c r="Q66" s="14">
        <f t="shared" si="39"/>
        <v>65.119581818181814</v>
      </c>
      <c r="R66" s="14">
        <f t="shared" si="39"/>
        <v>65.119581818181814</v>
      </c>
      <c r="S66" s="14">
        <f>SUM(G66:R66)</f>
        <v>955.08719999999994</v>
      </c>
    </row>
    <row r="67" spans="2:19" ht="15" x14ac:dyDescent="0.35">
      <c r="B67" s="5"/>
      <c r="C67" t="s">
        <v>119</v>
      </c>
      <c r="F67" s="4">
        <v>3183.6239999999998</v>
      </c>
      <c r="G67" s="4">
        <f>+F67/4</f>
        <v>795.90599999999995</v>
      </c>
      <c r="H67" s="4">
        <f>+(F67-G67)/11</f>
        <v>217.06527272727271</v>
      </c>
      <c r="I67" s="4">
        <f t="shared" si="39"/>
        <v>217.06527272727271</v>
      </c>
      <c r="J67" s="4">
        <f t="shared" si="39"/>
        <v>217.06527272727271</v>
      </c>
      <c r="K67" s="4">
        <f t="shared" si="39"/>
        <v>217.06527272727271</v>
      </c>
      <c r="L67" s="4">
        <f t="shared" si="39"/>
        <v>217.06527272727271</v>
      </c>
      <c r="M67" s="4">
        <f t="shared" si="39"/>
        <v>217.06527272727271</v>
      </c>
      <c r="N67" s="4">
        <f t="shared" si="39"/>
        <v>217.06527272727271</v>
      </c>
      <c r="O67" s="4">
        <f t="shared" si="39"/>
        <v>217.06527272727271</v>
      </c>
      <c r="P67" s="4">
        <f t="shared" si="39"/>
        <v>217.06527272727271</v>
      </c>
      <c r="Q67" s="4">
        <f t="shared" si="39"/>
        <v>217.06527272727271</v>
      </c>
      <c r="R67" s="4">
        <f t="shared" si="39"/>
        <v>217.06527272727271</v>
      </c>
      <c r="S67" s="4">
        <f>SUM(G67:R67)</f>
        <v>3183.6239999999998</v>
      </c>
    </row>
    <row r="68" spans="2:19" ht="15" x14ac:dyDescent="0.35">
      <c r="B68" s="5"/>
      <c r="D68" s="5" t="s">
        <v>123</v>
      </c>
      <c r="F68" s="6">
        <v>7322.3351999999995</v>
      </c>
      <c r="G68" s="6">
        <f t="shared" ref="G68:S68" si="40">SUM(G65:G67)</f>
        <v>1830.5837999999999</v>
      </c>
      <c r="H68" s="6">
        <f t="shared" si="40"/>
        <v>499.25012727272724</v>
      </c>
      <c r="I68" s="6">
        <f t="shared" si="40"/>
        <v>499.25012727272724</v>
      </c>
      <c r="J68" s="6">
        <f t="shared" si="40"/>
        <v>499.25012727272724</v>
      </c>
      <c r="K68" s="6">
        <f t="shared" si="40"/>
        <v>499.25012727272724</v>
      </c>
      <c r="L68" s="6">
        <f t="shared" si="40"/>
        <v>499.25012727272724</v>
      </c>
      <c r="M68" s="6">
        <f t="shared" si="40"/>
        <v>499.25012727272724</v>
      </c>
      <c r="N68" s="6">
        <f t="shared" si="40"/>
        <v>499.25012727272724</v>
      </c>
      <c r="O68" s="6">
        <f t="shared" si="40"/>
        <v>499.25012727272724</v>
      </c>
      <c r="P68" s="6">
        <f t="shared" si="40"/>
        <v>499.25012727272724</v>
      </c>
      <c r="Q68" s="6">
        <f t="shared" si="40"/>
        <v>499.25012727272724</v>
      </c>
      <c r="R68" s="6">
        <f t="shared" si="40"/>
        <v>499.25012727272724</v>
      </c>
      <c r="S68" s="6">
        <f t="shared" si="40"/>
        <v>7322.3351999999995</v>
      </c>
    </row>
    <row r="69" spans="2:19" ht="15" x14ac:dyDescent="0.35">
      <c r="B69" s="5" t="s">
        <v>124</v>
      </c>
      <c r="F69" s="6">
        <v>58036.243986000001</v>
      </c>
      <c r="G69" s="6">
        <f t="shared" ref="G69:S69" si="41">+G59+G64+G68</f>
        <v>6056.7428655000003</v>
      </c>
      <c r="H69" s="6">
        <f t="shared" si="41"/>
        <v>4725.4091927727277</v>
      </c>
      <c r="I69" s="6">
        <f t="shared" si="41"/>
        <v>4725.4091927727277</v>
      </c>
      <c r="J69" s="6">
        <f t="shared" si="41"/>
        <v>4725.4091927727277</v>
      </c>
      <c r="K69" s="6">
        <f t="shared" si="41"/>
        <v>4725.4091927727277</v>
      </c>
      <c r="L69" s="6">
        <f t="shared" si="41"/>
        <v>4725.4091927727277</v>
      </c>
      <c r="M69" s="6">
        <f t="shared" si="41"/>
        <v>4725.4091927727277</v>
      </c>
      <c r="N69" s="6">
        <f t="shared" si="41"/>
        <v>4725.4091927727277</v>
      </c>
      <c r="O69" s="6">
        <f t="shared" si="41"/>
        <v>4725.4091927727277</v>
      </c>
      <c r="P69" s="6">
        <f t="shared" si="41"/>
        <v>4725.4091927727277</v>
      </c>
      <c r="Q69" s="6">
        <f t="shared" si="41"/>
        <v>4725.4091927727277</v>
      </c>
      <c r="R69" s="6">
        <f t="shared" si="41"/>
        <v>4725.4091927727277</v>
      </c>
      <c r="S69" s="6">
        <f t="shared" si="41"/>
        <v>58036.243986000001</v>
      </c>
    </row>
    <row r="70" spans="2:19" hidden="1" x14ac:dyDescent="0.2"/>
    <row r="71" spans="2:19" hidden="1" x14ac:dyDescent="0.2">
      <c r="B71" s="5" t="s">
        <v>91</v>
      </c>
      <c r="F71"/>
    </row>
    <row r="72" spans="2:19" ht="15" hidden="1" x14ac:dyDescent="0.35">
      <c r="C72" s="5" t="s">
        <v>11</v>
      </c>
      <c r="D72" s="5"/>
      <c r="E72" s="3" t="s">
        <v>54</v>
      </c>
      <c r="F72" s="6">
        <v>0</v>
      </c>
      <c r="G72" s="6">
        <f>+F72</f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f>SUM(G72:R72)</f>
        <v>0</v>
      </c>
    </row>
    <row r="73" spans="2:19" x14ac:dyDescent="0.2"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</row>
    <row r="74" spans="2:19" x14ac:dyDescent="0.2">
      <c r="B74" s="5" t="s">
        <v>19</v>
      </c>
    </row>
    <row r="75" spans="2:19" ht="15" x14ac:dyDescent="0.35">
      <c r="C75" s="5" t="s">
        <v>11</v>
      </c>
      <c r="D75" s="5"/>
      <c r="E75" s="3" t="s">
        <v>54</v>
      </c>
      <c r="F75" s="6">
        <v>7959.06</v>
      </c>
      <c r="G75" s="6">
        <f>+F75</f>
        <v>7959.06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f>SUM(G75:R75)</f>
        <v>7959.06</v>
      </c>
    </row>
    <row r="77" spans="2:19" x14ac:dyDescent="0.2">
      <c r="B77" s="5" t="s">
        <v>24</v>
      </c>
    </row>
    <row r="78" spans="2:19" x14ac:dyDescent="0.2">
      <c r="C78" t="s">
        <v>20</v>
      </c>
      <c r="E78" s="3" t="s">
        <v>54</v>
      </c>
      <c r="F78" s="14">
        <v>2000</v>
      </c>
      <c r="G78" s="14">
        <f>+F78/12</f>
        <v>166.66666666666666</v>
      </c>
      <c r="H78" s="14">
        <f t="shared" ref="H78:R78" si="42">+G78</f>
        <v>166.66666666666666</v>
      </c>
      <c r="I78" s="14">
        <f t="shared" si="42"/>
        <v>166.66666666666666</v>
      </c>
      <c r="J78" s="14">
        <f t="shared" si="42"/>
        <v>166.66666666666666</v>
      </c>
      <c r="K78" s="14">
        <f t="shared" si="42"/>
        <v>166.66666666666666</v>
      </c>
      <c r="L78" s="14">
        <f t="shared" si="42"/>
        <v>166.66666666666666</v>
      </c>
      <c r="M78" s="14">
        <f t="shared" si="42"/>
        <v>166.66666666666666</v>
      </c>
      <c r="N78" s="14">
        <f t="shared" si="42"/>
        <v>166.66666666666666</v>
      </c>
      <c r="O78" s="14">
        <f t="shared" si="42"/>
        <v>166.66666666666666</v>
      </c>
      <c r="P78" s="14">
        <f t="shared" si="42"/>
        <v>166.66666666666666</v>
      </c>
      <c r="Q78" s="14">
        <f t="shared" si="42"/>
        <v>166.66666666666666</v>
      </c>
      <c r="R78" s="14">
        <f t="shared" si="42"/>
        <v>166.66666666666666</v>
      </c>
      <c r="S78" s="14">
        <f t="shared" ref="S78:S85" si="43">SUM(G78:R78)</f>
        <v>2000.0000000000002</v>
      </c>
    </row>
    <row r="79" spans="2:19" x14ac:dyDescent="0.2">
      <c r="C79" t="s">
        <v>157</v>
      </c>
      <c r="E79" s="3" t="s">
        <v>54</v>
      </c>
      <c r="F79" s="14">
        <v>183794.16969574473</v>
      </c>
      <c r="G79" s="14">
        <f>+F79/12</f>
        <v>15316.180807978728</v>
      </c>
      <c r="H79" s="14">
        <f t="shared" ref="H79:R79" si="44">+G79</f>
        <v>15316.180807978728</v>
      </c>
      <c r="I79" s="14">
        <f t="shared" si="44"/>
        <v>15316.180807978728</v>
      </c>
      <c r="J79" s="14">
        <f t="shared" si="44"/>
        <v>15316.180807978728</v>
      </c>
      <c r="K79" s="14">
        <f t="shared" si="44"/>
        <v>15316.180807978728</v>
      </c>
      <c r="L79" s="14">
        <f t="shared" si="44"/>
        <v>15316.180807978728</v>
      </c>
      <c r="M79" s="14">
        <f t="shared" si="44"/>
        <v>15316.180807978728</v>
      </c>
      <c r="N79" s="14">
        <f t="shared" si="44"/>
        <v>15316.180807978728</v>
      </c>
      <c r="O79" s="14">
        <f t="shared" si="44"/>
        <v>15316.180807978728</v>
      </c>
      <c r="P79" s="14">
        <f t="shared" si="44"/>
        <v>15316.180807978728</v>
      </c>
      <c r="Q79" s="14">
        <f t="shared" si="44"/>
        <v>15316.180807978728</v>
      </c>
      <c r="R79" s="14">
        <f t="shared" si="44"/>
        <v>15316.180807978728</v>
      </c>
      <c r="S79" s="14">
        <f t="shared" si="43"/>
        <v>183794.16969574473</v>
      </c>
    </row>
    <row r="80" spans="2:19" x14ac:dyDescent="0.2">
      <c r="C80" t="s">
        <v>76</v>
      </c>
      <c r="E80" s="3" t="s">
        <v>54</v>
      </c>
      <c r="F80" s="14">
        <v>9550.8720000000012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f>+F80</f>
        <v>9550.8720000000012</v>
      </c>
      <c r="S80" s="14">
        <f t="shared" si="43"/>
        <v>9550.8720000000012</v>
      </c>
    </row>
    <row r="81" spans="2:19" hidden="1" x14ac:dyDescent="0.2">
      <c r="C81" t="s">
        <v>93</v>
      </c>
      <c r="E81" s="3" t="s">
        <v>54</v>
      </c>
      <c r="F81" s="14">
        <v>0</v>
      </c>
      <c r="G81" s="14">
        <f>+F81</f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f t="shared" si="43"/>
        <v>0</v>
      </c>
    </row>
    <row r="82" spans="2:19" x14ac:dyDescent="0.2">
      <c r="C82" t="s">
        <v>12</v>
      </c>
      <c r="E82" s="3" t="s">
        <v>54</v>
      </c>
      <c r="F82" s="14">
        <v>4244.8320000000003</v>
      </c>
      <c r="G82" s="14">
        <f>+F82/12</f>
        <v>353.73600000000005</v>
      </c>
      <c r="H82" s="14">
        <f t="shared" ref="H82:R82" si="45">+G82</f>
        <v>353.73600000000005</v>
      </c>
      <c r="I82" s="14">
        <f t="shared" si="45"/>
        <v>353.73600000000005</v>
      </c>
      <c r="J82" s="14">
        <f t="shared" si="45"/>
        <v>353.73600000000005</v>
      </c>
      <c r="K82" s="14">
        <f t="shared" si="45"/>
        <v>353.73600000000005</v>
      </c>
      <c r="L82" s="14">
        <f t="shared" si="45"/>
        <v>353.73600000000005</v>
      </c>
      <c r="M82" s="14">
        <f t="shared" si="45"/>
        <v>353.73600000000005</v>
      </c>
      <c r="N82" s="14">
        <f t="shared" si="45"/>
        <v>353.73600000000005</v>
      </c>
      <c r="O82" s="14">
        <f t="shared" si="45"/>
        <v>353.73600000000005</v>
      </c>
      <c r="P82" s="14">
        <f t="shared" si="45"/>
        <v>353.73600000000005</v>
      </c>
      <c r="Q82" s="14">
        <f t="shared" si="45"/>
        <v>353.73600000000005</v>
      </c>
      <c r="R82" s="14">
        <f t="shared" si="45"/>
        <v>353.73600000000005</v>
      </c>
      <c r="S82" s="14">
        <f t="shared" si="43"/>
        <v>4244.8319999999994</v>
      </c>
    </row>
    <row r="83" spans="2:19" x14ac:dyDescent="0.2">
      <c r="C83" t="s">
        <v>21</v>
      </c>
      <c r="E83" s="3" t="s">
        <v>54</v>
      </c>
      <c r="F83" s="14">
        <v>9550.8720000000012</v>
      </c>
      <c r="G83" s="14">
        <f>+F83</f>
        <v>9550.8720000000012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f t="shared" si="43"/>
        <v>9550.8720000000012</v>
      </c>
    </row>
    <row r="84" spans="2:19" ht="15" x14ac:dyDescent="0.35">
      <c r="C84" t="s">
        <v>22</v>
      </c>
      <c r="E84" s="16"/>
      <c r="F84" s="4">
        <v>91897.084847872364</v>
      </c>
      <c r="G84" s="4">
        <f>+F84/12</f>
        <v>7658.0904039893639</v>
      </c>
      <c r="H84" s="4">
        <f t="shared" ref="H84:R84" si="46">+G84</f>
        <v>7658.0904039893639</v>
      </c>
      <c r="I84" s="4">
        <f t="shared" si="46"/>
        <v>7658.0904039893639</v>
      </c>
      <c r="J84" s="4">
        <f t="shared" si="46"/>
        <v>7658.0904039893639</v>
      </c>
      <c r="K84" s="4">
        <f t="shared" si="46"/>
        <v>7658.0904039893639</v>
      </c>
      <c r="L84" s="4">
        <f t="shared" si="46"/>
        <v>7658.0904039893639</v>
      </c>
      <c r="M84" s="4">
        <f t="shared" si="46"/>
        <v>7658.0904039893639</v>
      </c>
      <c r="N84" s="4">
        <f t="shared" si="46"/>
        <v>7658.0904039893639</v>
      </c>
      <c r="O84" s="4">
        <f t="shared" si="46"/>
        <v>7658.0904039893639</v>
      </c>
      <c r="P84" s="4">
        <f t="shared" si="46"/>
        <v>7658.0904039893639</v>
      </c>
      <c r="Q84" s="4">
        <f t="shared" si="46"/>
        <v>7658.0904039893639</v>
      </c>
      <c r="R84" s="4">
        <f t="shared" si="46"/>
        <v>7658.0904039893639</v>
      </c>
      <c r="S84" s="4">
        <f t="shared" si="43"/>
        <v>91897.084847872364</v>
      </c>
    </row>
    <row r="85" spans="2:19" ht="15" hidden="1" x14ac:dyDescent="0.35">
      <c r="C85" t="s">
        <v>92</v>
      </c>
      <c r="E85" s="16">
        <v>0.03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f t="shared" si="43"/>
        <v>0</v>
      </c>
    </row>
    <row r="86" spans="2:19" ht="15" x14ac:dyDescent="0.35">
      <c r="B86" s="5" t="s">
        <v>23</v>
      </c>
      <c r="C86" s="5"/>
      <c r="D86" s="5"/>
      <c r="E86" s="9"/>
      <c r="F86" s="6">
        <v>301037.83054361708</v>
      </c>
      <c r="G86" s="6">
        <f t="shared" ref="G86:S86" si="47">SUM(G78:G85)</f>
        <v>33045.545878634759</v>
      </c>
      <c r="H86" s="6">
        <f t="shared" si="47"/>
        <v>23494.67387863476</v>
      </c>
      <c r="I86" s="6">
        <f t="shared" si="47"/>
        <v>23494.67387863476</v>
      </c>
      <c r="J86" s="6">
        <f t="shared" si="47"/>
        <v>23494.67387863476</v>
      </c>
      <c r="K86" s="6">
        <f t="shared" si="47"/>
        <v>23494.67387863476</v>
      </c>
      <c r="L86" s="6">
        <f t="shared" si="47"/>
        <v>23494.67387863476</v>
      </c>
      <c r="M86" s="6">
        <f t="shared" si="47"/>
        <v>23494.67387863476</v>
      </c>
      <c r="N86" s="6">
        <f t="shared" si="47"/>
        <v>23494.67387863476</v>
      </c>
      <c r="O86" s="6">
        <f t="shared" si="47"/>
        <v>23494.67387863476</v>
      </c>
      <c r="P86" s="6">
        <f t="shared" si="47"/>
        <v>23494.67387863476</v>
      </c>
      <c r="Q86" s="6">
        <f t="shared" si="47"/>
        <v>23494.67387863476</v>
      </c>
      <c r="R86" s="6">
        <f t="shared" si="47"/>
        <v>33045.545878634759</v>
      </c>
      <c r="S86" s="6">
        <f t="shared" si="47"/>
        <v>301037.83054361708</v>
      </c>
    </row>
    <row r="87" spans="2:19" x14ac:dyDescent="0.2"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2:19" x14ac:dyDescent="0.2">
      <c r="B88" s="5" t="s">
        <v>26</v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2:19" x14ac:dyDescent="0.2">
      <c r="C89" t="s">
        <v>131</v>
      </c>
      <c r="E89" s="3" t="s">
        <v>135</v>
      </c>
      <c r="F89" s="14">
        <v>79590.600000000006</v>
      </c>
      <c r="G89" s="14">
        <f>+F89/12</f>
        <v>6632.55</v>
      </c>
      <c r="H89" s="14">
        <f t="shared" ref="H89:R89" si="48">+G89</f>
        <v>6632.55</v>
      </c>
      <c r="I89" s="14">
        <f t="shared" si="48"/>
        <v>6632.55</v>
      </c>
      <c r="J89" s="14">
        <f t="shared" si="48"/>
        <v>6632.55</v>
      </c>
      <c r="K89" s="14">
        <f t="shared" si="48"/>
        <v>6632.55</v>
      </c>
      <c r="L89" s="14">
        <f t="shared" si="48"/>
        <v>6632.55</v>
      </c>
      <c r="M89" s="14">
        <f t="shared" si="48"/>
        <v>6632.55</v>
      </c>
      <c r="N89" s="14">
        <f t="shared" si="48"/>
        <v>6632.55</v>
      </c>
      <c r="O89" s="14">
        <f t="shared" si="48"/>
        <v>6632.55</v>
      </c>
      <c r="P89" s="14">
        <f t="shared" si="48"/>
        <v>6632.55</v>
      </c>
      <c r="Q89" s="14">
        <f t="shared" si="48"/>
        <v>6632.55</v>
      </c>
      <c r="R89" s="14">
        <f t="shared" si="48"/>
        <v>6632.55</v>
      </c>
      <c r="S89" s="14">
        <f>SUM(G89:R89)</f>
        <v>79590.60000000002</v>
      </c>
    </row>
    <row r="90" spans="2:19" hidden="1" x14ac:dyDescent="0.2">
      <c r="C90" t="s">
        <v>132</v>
      </c>
      <c r="E90" s="3" t="s">
        <v>145</v>
      </c>
      <c r="F90" s="14">
        <v>0</v>
      </c>
      <c r="S90" s="14">
        <f>SUM(G90:R90)</f>
        <v>0</v>
      </c>
    </row>
    <row r="91" spans="2:19" ht="15" hidden="1" x14ac:dyDescent="0.35">
      <c r="C91" t="s">
        <v>133</v>
      </c>
      <c r="E91" s="3" t="s">
        <v>136</v>
      </c>
      <c r="F91" s="14">
        <v>0</v>
      </c>
      <c r="S91" s="4">
        <f>SUM(G91:R91)</f>
        <v>0</v>
      </c>
    </row>
    <row r="92" spans="2:19" ht="15" x14ac:dyDescent="0.35">
      <c r="C92" t="s">
        <v>134</v>
      </c>
      <c r="E92" s="3" t="s">
        <v>135</v>
      </c>
      <c r="F92" s="4">
        <v>59078.073599999996</v>
      </c>
      <c r="G92" s="4">
        <f>+F92/12</f>
        <v>4923.1727999999994</v>
      </c>
      <c r="H92" s="4">
        <f t="shared" ref="H92:R92" si="49">+G92</f>
        <v>4923.1727999999994</v>
      </c>
      <c r="I92" s="4">
        <f t="shared" si="49"/>
        <v>4923.1727999999994</v>
      </c>
      <c r="J92" s="4">
        <f t="shared" si="49"/>
        <v>4923.1727999999994</v>
      </c>
      <c r="K92" s="4">
        <f t="shared" si="49"/>
        <v>4923.1727999999994</v>
      </c>
      <c r="L92" s="4">
        <f t="shared" si="49"/>
        <v>4923.1727999999994</v>
      </c>
      <c r="M92" s="4">
        <f t="shared" si="49"/>
        <v>4923.1727999999994</v>
      </c>
      <c r="N92" s="4">
        <f t="shared" si="49"/>
        <v>4923.1727999999994</v>
      </c>
      <c r="O92" s="4">
        <f t="shared" si="49"/>
        <v>4923.1727999999994</v>
      </c>
      <c r="P92" s="4">
        <f t="shared" si="49"/>
        <v>4923.1727999999994</v>
      </c>
      <c r="Q92" s="4">
        <f t="shared" si="49"/>
        <v>4923.1727999999994</v>
      </c>
      <c r="R92" s="4">
        <f t="shared" si="49"/>
        <v>4923.1727999999994</v>
      </c>
      <c r="S92" s="4">
        <f>SUM(G92:R92)</f>
        <v>59078.073599999996</v>
      </c>
    </row>
    <row r="93" spans="2:19" ht="15" x14ac:dyDescent="0.35">
      <c r="D93" s="5" t="s">
        <v>27</v>
      </c>
      <c r="E93" s="9"/>
      <c r="F93" s="6">
        <v>138668.67360000001</v>
      </c>
      <c r="G93" s="6">
        <f t="shared" ref="G93:S93" si="50">SUM(G89:G92)</f>
        <v>11555.7228</v>
      </c>
      <c r="H93" s="6">
        <f t="shared" si="50"/>
        <v>11555.7228</v>
      </c>
      <c r="I93" s="6">
        <f t="shared" si="50"/>
        <v>11555.7228</v>
      </c>
      <c r="J93" s="6">
        <f t="shared" si="50"/>
        <v>11555.7228</v>
      </c>
      <c r="K93" s="6">
        <f t="shared" si="50"/>
        <v>11555.7228</v>
      </c>
      <c r="L93" s="6">
        <f t="shared" si="50"/>
        <v>11555.7228</v>
      </c>
      <c r="M93" s="6">
        <f t="shared" si="50"/>
        <v>11555.7228</v>
      </c>
      <c r="N93" s="6">
        <f t="shared" si="50"/>
        <v>11555.7228</v>
      </c>
      <c r="O93" s="6">
        <f t="shared" si="50"/>
        <v>11555.7228</v>
      </c>
      <c r="P93" s="6">
        <f t="shared" si="50"/>
        <v>11555.7228</v>
      </c>
      <c r="Q93" s="6">
        <f t="shared" si="50"/>
        <v>11555.7228</v>
      </c>
      <c r="R93" s="6">
        <f t="shared" si="50"/>
        <v>11555.7228</v>
      </c>
      <c r="S93" s="6">
        <f t="shared" si="50"/>
        <v>138668.67360000001</v>
      </c>
    </row>
    <row r="94" spans="2:19" x14ac:dyDescent="0.2">
      <c r="C94" t="s">
        <v>7</v>
      </c>
      <c r="E94" s="13">
        <v>1.4999999999999999E-2</v>
      </c>
      <c r="F94" s="14">
        <v>2080.0301039999999</v>
      </c>
      <c r="G94" s="14">
        <f t="shared" ref="G94:R97" si="51">+$F94/$F$93*G$93</f>
        <v>173.33584199999996</v>
      </c>
      <c r="H94" s="14">
        <f t="shared" si="51"/>
        <v>173.33584199999996</v>
      </c>
      <c r="I94" s="14">
        <f t="shared" si="51"/>
        <v>173.33584199999996</v>
      </c>
      <c r="J94" s="14">
        <f t="shared" si="51"/>
        <v>173.33584199999996</v>
      </c>
      <c r="K94" s="14">
        <f t="shared" si="51"/>
        <v>173.33584199999996</v>
      </c>
      <c r="L94" s="14">
        <f t="shared" si="51"/>
        <v>173.33584199999996</v>
      </c>
      <c r="M94" s="14">
        <f t="shared" si="51"/>
        <v>173.33584199999996</v>
      </c>
      <c r="N94" s="14">
        <f t="shared" si="51"/>
        <v>173.33584199999996</v>
      </c>
      <c r="O94" s="14">
        <f t="shared" si="51"/>
        <v>173.33584199999996</v>
      </c>
      <c r="P94" s="14">
        <f t="shared" si="51"/>
        <v>173.33584199999996</v>
      </c>
      <c r="Q94" s="14">
        <f t="shared" si="51"/>
        <v>173.33584199999996</v>
      </c>
      <c r="R94" s="14">
        <f t="shared" si="51"/>
        <v>173.33584199999996</v>
      </c>
      <c r="S94" s="14">
        <f>SUM(G94:R94)</f>
        <v>2080.0301039999995</v>
      </c>
    </row>
    <row r="95" spans="2:19" x14ac:dyDescent="0.2">
      <c r="C95" t="s">
        <v>8</v>
      </c>
      <c r="E95" s="3" t="s">
        <v>52</v>
      </c>
      <c r="F95" s="14">
        <v>11175.153530400001</v>
      </c>
      <c r="G95" s="14">
        <f t="shared" si="51"/>
        <v>931.26279419999992</v>
      </c>
      <c r="H95" s="14">
        <f t="shared" si="51"/>
        <v>931.26279419999992</v>
      </c>
      <c r="I95" s="14">
        <f t="shared" si="51"/>
        <v>931.26279419999992</v>
      </c>
      <c r="J95" s="14">
        <f t="shared" si="51"/>
        <v>931.26279419999992</v>
      </c>
      <c r="K95" s="14">
        <f t="shared" si="51"/>
        <v>931.26279419999992</v>
      </c>
      <c r="L95" s="14">
        <f t="shared" si="51"/>
        <v>931.26279419999992</v>
      </c>
      <c r="M95" s="14">
        <f t="shared" si="51"/>
        <v>931.26279419999992</v>
      </c>
      <c r="N95" s="14">
        <f t="shared" si="51"/>
        <v>931.26279419999992</v>
      </c>
      <c r="O95" s="14">
        <f t="shared" si="51"/>
        <v>931.26279419999992</v>
      </c>
      <c r="P95" s="14">
        <f t="shared" si="51"/>
        <v>931.26279419999992</v>
      </c>
      <c r="Q95" s="14">
        <f t="shared" si="51"/>
        <v>931.26279419999992</v>
      </c>
      <c r="R95" s="14">
        <f t="shared" si="51"/>
        <v>931.26279419999992</v>
      </c>
      <c r="S95" s="14">
        <f>SUM(G95:R95)</f>
        <v>11175.153530399999</v>
      </c>
    </row>
    <row r="96" spans="2:19" x14ac:dyDescent="0.2">
      <c r="C96" t="s">
        <v>9</v>
      </c>
      <c r="E96" s="3" t="str">
        <f>CONCATENATE(ins," per month per employee")</f>
        <v>266.666666666666 per month per employee</v>
      </c>
      <c r="F96" s="14">
        <v>9550.8719999999994</v>
      </c>
      <c r="G96" s="14">
        <f t="shared" si="51"/>
        <v>795.90599999999984</v>
      </c>
      <c r="H96" s="14">
        <f t="shared" si="51"/>
        <v>795.90599999999984</v>
      </c>
      <c r="I96" s="14">
        <f t="shared" si="51"/>
        <v>795.90599999999984</v>
      </c>
      <c r="J96" s="14">
        <f t="shared" si="51"/>
        <v>795.90599999999984</v>
      </c>
      <c r="K96" s="14">
        <f t="shared" si="51"/>
        <v>795.90599999999984</v>
      </c>
      <c r="L96" s="14">
        <f t="shared" si="51"/>
        <v>795.90599999999984</v>
      </c>
      <c r="M96" s="14">
        <f t="shared" si="51"/>
        <v>795.90599999999984</v>
      </c>
      <c r="N96" s="14">
        <f t="shared" si="51"/>
        <v>795.90599999999984</v>
      </c>
      <c r="O96" s="14">
        <f t="shared" si="51"/>
        <v>795.90599999999984</v>
      </c>
      <c r="P96" s="14">
        <f t="shared" si="51"/>
        <v>795.90599999999984</v>
      </c>
      <c r="Q96" s="14">
        <f t="shared" si="51"/>
        <v>795.90599999999984</v>
      </c>
      <c r="R96" s="14">
        <f t="shared" si="51"/>
        <v>795.90599999999984</v>
      </c>
      <c r="S96" s="14">
        <f>SUM(G96:R96)</f>
        <v>9550.8719999999976</v>
      </c>
    </row>
    <row r="97" spans="2:19" ht="15" x14ac:dyDescent="0.35">
      <c r="C97" t="s">
        <v>10</v>
      </c>
      <c r="E97" s="11" t="s">
        <v>53</v>
      </c>
      <c r="F97" s="4">
        <v>1386.6867360000001</v>
      </c>
      <c r="G97" s="4">
        <f t="shared" si="51"/>
        <v>115.55722799999999</v>
      </c>
      <c r="H97" s="4">
        <f t="shared" si="51"/>
        <v>115.55722799999999</v>
      </c>
      <c r="I97" s="4">
        <f t="shared" si="51"/>
        <v>115.55722799999999</v>
      </c>
      <c r="J97" s="4">
        <f t="shared" si="51"/>
        <v>115.55722799999999</v>
      </c>
      <c r="K97" s="4">
        <f t="shared" si="51"/>
        <v>115.55722799999999</v>
      </c>
      <c r="L97" s="4">
        <f t="shared" si="51"/>
        <v>115.55722799999999</v>
      </c>
      <c r="M97" s="4">
        <f t="shared" si="51"/>
        <v>115.55722799999999</v>
      </c>
      <c r="N97" s="4">
        <f t="shared" si="51"/>
        <v>115.55722799999999</v>
      </c>
      <c r="O97" s="4">
        <f t="shared" si="51"/>
        <v>115.55722799999999</v>
      </c>
      <c r="P97" s="4">
        <f t="shared" si="51"/>
        <v>115.55722799999999</v>
      </c>
      <c r="Q97" s="4">
        <f t="shared" si="51"/>
        <v>115.55722799999999</v>
      </c>
      <c r="R97" s="4">
        <f t="shared" si="51"/>
        <v>115.55722799999999</v>
      </c>
      <c r="S97" s="4">
        <f>SUM(G97:R97)</f>
        <v>1386.6867359999997</v>
      </c>
    </row>
    <row r="98" spans="2:19" ht="15" x14ac:dyDescent="0.35">
      <c r="D98" s="5" t="s">
        <v>28</v>
      </c>
      <c r="E98" s="9"/>
      <c r="F98" s="6">
        <v>24192.742370399999</v>
      </c>
      <c r="G98" s="6">
        <f t="shared" ref="G98:S98" si="52">SUM(G94:G97)</f>
        <v>2016.0618641999997</v>
      </c>
      <c r="H98" s="6">
        <f t="shared" si="52"/>
        <v>2016.0618641999997</v>
      </c>
      <c r="I98" s="6">
        <f t="shared" si="52"/>
        <v>2016.0618641999997</v>
      </c>
      <c r="J98" s="6">
        <f t="shared" si="52"/>
        <v>2016.0618641999997</v>
      </c>
      <c r="K98" s="6">
        <f t="shared" si="52"/>
        <v>2016.0618641999997</v>
      </c>
      <c r="L98" s="6">
        <f t="shared" si="52"/>
        <v>2016.0618641999997</v>
      </c>
      <c r="M98" s="6">
        <f t="shared" si="52"/>
        <v>2016.0618641999997</v>
      </c>
      <c r="N98" s="6">
        <f t="shared" si="52"/>
        <v>2016.0618641999997</v>
      </c>
      <c r="O98" s="6">
        <f t="shared" si="52"/>
        <v>2016.0618641999997</v>
      </c>
      <c r="P98" s="6">
        <f t="shared" si="52"/>
        <v>2016.0618641999997</v>
      </c>
      <c r="Q98" s="6">
        <f t="shared" si="52"/>
        <v>2016.0618641999997</v>
      </c>
      <c r="R98" s="6">
        <f t="shared" si="52"/>
        <v>2016.0618641999997</v>
      </c>
      <c r="S98" s="6">
        <f t="shared" si="52"/>
        <v>24192.742370399996</v>
      </c>
    </row>
    <row r="99" spans="2:19" x14ac:dyDescent="0.2">
      <c r="C99" t="s">
        <v>12</v>
      </c>
      <c r="E99" s="3" t="s">
        <v>54</v>
      </c>
      <c r="F99" s="14">
        <v>2122.4160000000002</v>
      </c>
      <c r="G99" s="14">
        <f>+F99/12</f>
        <v>176.86800000000002</v>
      </c>
      <c r="H99" s="14">
        <f t="shared" ref="H99:R99" si="53">+G99</f>
        <v>176.86800000000002</v>
      </c>
      <c r="I99" s="14">
        <f t="shared" si="53"/>
        <v>176.86800000000002</v>
      </c>
      <c r="J99" s="14">
        <f t="shared" si="53"/>
        <v>176.86800000000002</v>
      </c>
      <c r="K99" s="14">
        <f t="shared" si="53"/>
        <v>176.86800000000002</v>
      </c>
      <c r="L99" s="14">
        <f t="shared" si="53"/>
        <v>176.86800000000002</v>
      </c>
      <c r="M99" s="14">
        <f t="shared" si="53"/>
        <v>176.86800000000002</v>
      </c>
      <c r="N99" s="14">
        <f t="shared" si="53"/>
        <v>176.86800000000002</v>
      </c>
      <c r="O99" s="14">
        <f t="shared" si="53"/>
        <v>176.86800000000002</v>
      </c>
      <c r="P99" s="14">
        <f t="shared" si="53"/>
        <v>176.86800000000002</v>
      </c>
      <c r="Q99" s="14">
        <f t="shared" si="53"/>
        <v>176.86800000000002</v>
      </c>
      <c r="R99" s="14">
        <f t="shared" si="53"/>
        <v>176.86800000000002</v>
      </c>
      <c r="S99" s="14">
        <f t="shared" ref="S99:S105" si="54">SUM(G99:R99)</f>
        <v>2122.4159999999997</v>
      </c>
    </row>
    <row r="100" spans="2:19" x14ac:dyDescent="0.2">
      <c r="C100" t="s">
        <v>29</v>
      </c>
      <c r="E100" s="3" t="s">
        <v>138</v>
      </c>
      <c r="F100" s="14">
        <v>9550.8720000000012</v>
      </c>
      <c r="G100" s="14">
        <f>+F100/12</f>
        <v>795.90600000000006</v>
      </c>
      <c r="H100" s="14">
        <f t="shared" ref="H100:R100" si="55">+G100</f>
        <v>795.90600000000006</v>
      </c>
      <c r="I100" s="14">
        <f t="shared" si="55"/>
        <v>795.90600000000006</v>
      </c>
      <c r="J100" s="14">
        <f t="shared" si="55"/>
        <v>795.90600000000006</v>
      </c>
      <c r="K100" s="14">
        <f t="shared" si="55"/>
        <v>795.90600000000006</v>
      </c>
      <c r="L100" s="14">
        <f t="shared" si="55"/>
        <v>795.90600000000006</v>
      </c>
      <c r="M100" s="14">
        <f t="shared" si="55"/>
        <v>795.90600000000006</v>
      </c>
      <c r="N100" s="14">
        <f t="shared" si="55"/>
        <v>795.90600000000006</v>
      </c>
      <c r="O100" s="14">
        <f t="shared" si="55"/>
        <v>795.90600000000006</v>
      </c>
      <c r="P100" s="14">
        <f t="shared" si="55"/>
        <v>795.90600000000006</v>
      </c>
      <c r="Q100" s="14">
        <f t="shared" si="55"/>
        <v>795.90600000000006</v>
      </c>
      <c r="R100" s="14">
        <f t="shared" si="55"/>
        <v>795.90600000000006</v>
      </c>
      <c r="S100" s="14">
        <f t="shared" si="54"/>
        <v>9550.8720000000012</v>
      </c>
    </row>
    <row r="101" spans="2:19" x14ac:dyDescent="0.2">
      <c r="C101" t="s">
        <v>30</v>
      </c>
      <c r="E101" s="3" t="s">
        <v>54</v>
      </c>
      <c r="F101" s="14">
        <v>4775.4360000000006</v>
      </c>
      <c r="G101" s="14">
        <f>+F101/12</f>
        <v>397.95300000000003</v>
      </c>
      <c r="H101" s="14">
        <f t="shared" ref="H101:R101" si="56">+G101</f>
        <v>397.95300000000003</v>
      </c>
      <c r="I101" s="14">
        <f t="shared" si="56"/>
        <v>397.95300000000003</v>
      </c>
      <c r="J101" s="14">
        <f t="shared" si="56"/>
        <v>397.95300000000003</v>
      </c>
      <c r="K101" s="14">
        <f t="shared" si="56"/>
        <v>397.95300000000003</v>
      </c>
      <c r="L101" s="14">
        <f t="shared" si="56"/>
        <v>397.95300000000003</v>
      </c>
      <c r="M101" s="14">
        <f t="shared" si="56"/>
        <v>397.95300000000003</v>
      </c>
      <c r="N101" s="14">
        <f t="shared" si="56"/>
        <v>397.95300000000003</v>
      </c>
      <c r="O101" s="14">
        <f t="shared" si="56"/>
        <v>397.95300000000003</v>
      </c>
      <c r="P101" s="14">
        <f t="shared" si="56"/>
        <v>397.95300000000003</v>
      </c>
      <c r="Q101" s="14">
        <f t="shared" si="56"/>
        <v>397.95300000000003</v>
      </c>
      <c r="R101" s="14">
        <f t="shared" si="56"/>
        <v>397.95300000000003</v>
      </c>
      <c r="S101" s="14">
        <f t="shared" si="54"/>
        <v>4775.4360000000006</v>
      </c>
    </row>
    <row r="102" spans="2:19" x14ac:dyDescent="0.2">
      <c r="C102" t="s">
        <v>73</v>
      </c>
      <c r="E102" s="3" t="s">
        <v>54</v>
      </c>
      <c r="F102" s="14">
        <v>2080.8000000000002</v>
      </c>
      <c r="G102" s="14">
        <f>+F102/4</f>
        <v>520.20000000000005</v>
      </c>
      <c r="H102" s="14">
        <f>(F102-G102)/11</f>
        <v>141.87272727272727</v>
      </c>
      <c r="I102" s="14">
        <f t="shared" ref="I102:R102" si="57">+H102</f>
        <v>141.87272727272727</v>
      </c>
      <c r="J102" s="14">
        <f t="shared" si="57"/>
        <v>141.87272727272727</v>
      </c>
      <c r="K102" s="14">
        <f t="shared" si="57"/>
        <v>141.87272727272727</v>
      </c>
      <c r="L102" s="14">
        <f t="shared" si="57"/>
        <v>141.87272727272727</v>
      </c>
      <c r="M102" s="14">
        <f t="shared" si="57"/>
        <v>141.87272727272727</v>
      </c>
      <c r="N102" s="14">
        <f t="shared" si="57"/>
        <v>141.87272727272727</v>
      </c>
      <c r="O102" s="14">
        <f t="shared" si="57"/>
        <v>141.87272727272727</v>
      </c>
      <c r="P102" s="14">
        <f t="shared" si="57"/>
        <v>141.87272727272727</v>
      </c>
      <c r="Q102" s="14">
        <f t="shared" si="57"/>
        <v>141.87272727272727</v>
      </c>
      <c r="R102" s="14">
        <f t="shared" si="57"/>
        <v>141.87272727272727</v>
      </c>
      <c r="S102" s="14">
        <f t="shared" si="54"/>
        <v>2080.8000000000006</v>
      </c>
    </row>
    <row r="103" spans="2:19" x14ac:dyDescent="0.2">
      <c r="C103" t="s">
        <v>13</v>
      </c>
      <c r="E103" s="3" t="s">
        <v>54</v>
      </c>
      <c r="F103" s="14">
        <v>4775.4360000000006</v>
      </c>
      <c r="G103" s="14">
        <f>+F103/4</f>
        <v>1193.8590000000002</v>
      </c>
      <c r="H103" s="14">
        <f>(F103-G103)/11</f>
        <v>325.59790909090913</v>
      </c>
      <c r="I103" s="14">
        <f t="shared" ref="I103:R103" si="58">+H103</f>
        <v>325.59790909090913</v>
      </c>
      <c r="J103" s="14">
        <f t="shared" si="58"/>
        <v>325.59790909090913</v>
      </c>
      <c r="K103" s="14">
        <f t="shared" si="58"/>
        <v>325.59790909090913</v>
      </c>
      <c r="L103" s="14">
        <f t="shared" si="58"/>
        <v>325.59790909090913</v>
      </c>
      <c r="M103" s="14">
        <f t="shared" si="58"/>
        <v>325.59790909090913</v>
      </c>
      <c r="N103" s="14">
        <f t="shared" si="58"/>
        <v>325.59790909090913</v>
      </c>
      <c r="O103" s="14">
        <f t="shared" si="58"/>
        <v>325.59790909090913</v>
      </c>
      <c r="P103" s="14">
        <f t="shared" si="58"/>
        <v>325.59790909090913</v>
      </c>
      <c r="Q103" s="14">
        <f t="shared" si="58"/>
        <v>325.59790909090913</v>
      </c>
      <c r="R103" s="14">
        <f t="shared" si="58"/>
        <v>325.59790909090913</v>
      </c>
      <c r="S103" s="14">
        <f t="shared" si="54"/>
        <v>4775.4360000000015</v>
      </c>
    </row>
    <row r="104" spans="2:19" x14ac:dyDescent="0.2">
      <c r="C104" t="s">
        <v>15</v>
      </c>
      <c r="E104" s="3" t="s">
        <v>54</v>
      </c>
      <c r="F104" s="14">
        <v>1414.944</v>
      </c>
      <c r="G104" s="14">
        <f>+F104/4</f>
        <v>353.73599999999999</v>
      </c>
      <c r="H104" s="14">
        <f>(F104-G104)/11</f>
        <v>96.473454545454558</v>
      </c>
      <c r="I104" s="14">
        <f t="shared" ref="I104:R104" si="59">+H104</f>
        <v>96.473454545454558</v>
      </c>
      <c r="J104" s="14">
        <f t="shared" si="59"/>
        <v>96.473454545454558</v>
      </c>
      <c r="K104" s="14">
        <f t="shared" si="59"/>
        <v>96.473454545454558</v>
      </c>
      <c r="L104" s="14">
        <f t="shared" si="59"/>
        <v>96.473454545454558</v>
      </c>
      <c r="M104" s="14">
        <f t="shared" si="59"/>
        <v>96.473454545454558</v>
      </c>
      <c r="N104" s="14">
        <f t="shared" si="59"/>
        <v>96.473454545454558</v>
      </c>
      <c r="O104" s="14">
        <f t="shared" si="59"/>
        <v>96.473454545454558</v>
      </c>
      <c r="P104" s="14">
        <f t="shared" si="59"/>
        <v>96.473454545454558</v>
      </c>
      <c r="Q104" s="14">
        <f t="shared" si="59"/>
        <v>96.473454545454558</v>
      </c>
      <c r="R104" s="14">
        <f t="shared" si="59"/>
        <v>96.473454545454558</v>
      </c>
      <c r="S104" s="14">
        <f t="shared" si="54"/>
        <v>1414.9440000000006</v>
      </c>
    </row>
    <row r="105" spans="2:19" ht="15" x14ac:dyDescent="0.35">
      <c r="C105" t="s">
        <v>16</v>
      </c>
      <c r="E105" s="3" t="s">
        <v>54</v>
      </c>
      <c r="F105" s="4">
        <v>530.60400000000004</v>
      </c>
      <c r="G105" s="4">
        <f>+F105/4</f>
        <v>132.65100000000001</v>
      </c>
      <c r="H105" s="4">
        <f>(F105-G105)/11</f>
        <v>36.177545454545459</v>
      </c>
      <c r="I105" s="4">
        <f t="shared" ref="I105:R105" si="60">+H105</f>
        <v>36.177545454545459</v>
      </c>
      <c r="J105" s="4">
        <f t="shared" si="60"/>
        <v>36.177545454545459</v>
      </c>
      <c r="K105" s="4">
        <f t="shared" si="60"/>
        <v>36.177545454545459</v>
      </c>
      <c r="L105" s="4">
        <f t="shared" si="60"/>
        <v>36.177545454545459</v>
      </c>
      <c r="M105" s="4">
        <f t="shared" si="60"/>
        <v>36.177545454545459</v>
      </c>
      <c r="N105" s="4">
        <f t="shared" si="60"/>
        <v>36.177545454545459</v>
      </c>
      <c r="O105" s="4">
        <f t="shared" si="60"/>
        <v>36.177545454545459</v>
      </c>
      <c r="P105" s="4">
        <f t="shared" si="60"/>
        <v>36.177545454545459</v>
      </c>
      <c r="Q105" s="4">
        <f t="shared" si="60"/>
        <v>36.177545454545459</v>
      </c>
      <c r="R105" s="4">
        <f t="shared" si="60"/>
        <v>36.177545454545459</v>
      </c>
      <c r="S105" s="4">
        <f t="shared" si="54"/>
        <v>530.60400000000004</v>
      </c>
    </row>
    <row r="106" spans="2:19" ht="15" x14ac:dyDescent="0.35">
      <c r="B106" s="5"/>
      <c r="C106" s="5"/>
      <c r="D106" s="5" t="s">
        <v>31</v>
      </c>
      <c r="E106" s="9"/>
      <c r="F106" s="6">
        <v>25250.508000000002</v>
      </c>
      <c r="G106" s="6">
        <f t="shared" ref="G106:S106" si="61">SUM(G99:G105)</f>
        <v>3571.1729999999998</v>
      </c>
      <c r="H106" s="6">
        <f t="shared" si="61"/>
        <v>1970.8486363636364</v>
      </c>
      <c r="I106" s="6">
        <f t="shared" si="61"/>
        <v>1970.8486363636364</v>
      </c>
      <c r="J106" s="6">
        <f t="shared" si="61"/>
        <v>1970.8486363636364</v>
      </c>
      <c r="K106" s="6">
        <f t="shared" si="61"/>
        <v>1970.8486363636364</v>
      </c>
      <c r="L106" s="6">
        <f t="shared" si="61"/>
        <v>1970.8486363636364</v>
      </c>
      <c r="M106" s="6">
        <f t="shared" si="61"/>
        <v>1970.8486363636364</v>
      </c>
      <c r="N106" s="6">
        <f t="shared" si="61"/>
        <v>1970.8486363636364</v>
      </c>
      <c r="O106" s="6">
        <f t="shared" si="61"/>
        <v>1970.8486363636364</v>
      </c>
      <c r="P106" s="6">
        <f t="shared" si="61"/>
        <v>1970.8486363636364</v>
      </c>
      <c r="Q106" s="6">
        <f t="shared" si="61"/>
        <v>1970.8486363636364</v>
      </c>
      <c r="R106" s="6">
        <f t="shared" si="61"/>
        <v>1970.8486363636364</v>
      </c>
      <c r="S106" s="6">
        <f t="shared" si="61"/>
        <v>25250.508000000002</v>
      </c>
    </row>
    <row r="107" spans="2:19" ht="15" x14ac:dyDescent="0.35">
      <c r="B107" s="5" t="s">
        <v>32</v>
      </c>
      <c r="C107" s="5"/>
      <c r="D107" s="5"/>
      <c r="E107" s="9"/>
      <c r="F107" s="6">
        <v>188111.92397040001</v>
      </c>
      <c r="G107" s="6">
        <f t="shared" ref="G107:S107" si="62">SUM(G106,G98,G93)</f>
        <v>17142.957664199999</v>
      </c>
      <c r="H107" s="6">
        <f t="shared" si="62"/>
        <v>15542.633300563635</v>
      </c>
      <c r="I107" s="6">
        <f t="shared" si="62"/>
        <v>15542.633300563635</v>
      </c>
      <c r="J107" s="6">
        <f t="shared" si="62"/>
        <v>15542.633300563635</v>
      </c>
      <c r="K107" s="6">
        <f t="shared" si="62"/>
        <v>15542.633300563635</v>
      </c>
      <c r="L107" s="6">
        <f t="shared" si="62"/>
        <v>15542.633300563635</v>
      </c>
      <c r="M107" s="6">
        <f t="shared" si="62"/>
        <v>15542.633300563635</v>
      </c>
      <c r="N107" s="6">
        <f t="shared" si="62"/>
        <v>15542.633300563635</v>
      </c>
      <c r="O107" s="6">
        <f t="shared" si="62"/>
        <v>15542.633300563635</v>
      </c>
      <c r="P107" s="6">
        <f t="shared" si="62"/>
        <v>15542.633300563635</v>
      </c>
      <c r="Q107" s="6">
        <f t="shared" si="62"/>
        <v>15542.633300563635</v>
      </c>
      <c r="R107" s="6">
        <f t="shared" si="62"/>
        <v>15542.633300563635</v>
      </c>
      <c r="S107" s="6">
        <f t="shared" si="62"/>
        <v>188111.92397040001</v>
      </c>
    </row>
    <row r="109" spans="2:19" x14ac:dyDescent="0.2">
      <c r="B109" s="5" t="s">
        <v>50</v>
      </c>
    </row>
    <row r="110" spans="2:19" ht="15" x14ac:dyDescent="0.35">
      <c r="B110" s="5"/>
      <c r="C110" t="s">
        <v>33</v>
      </c>
      <c r="F110" s="4">
        <v>97500</v>
      </c>
      <c r="G110" s="4">
        <f>+F110/12</f>
        <v>8125</v>
      </c>
      <c r="H110" s="4">
        <f t="shared" ref="H110:R110" si="63">+G110</f>
        <v>8125</v>
      </c>
      <c r="I110" s="4">
        <f t="shared" si="63"/>
        <v>8125</v>
      </c>
      <c r="J110" s="4">
        <f t="shared" si="63"/>
        <v>8125</v>
      </c>
      <c r="K110" s="4">
        <f t="shared" si="63"/>
        <v>8125</v>
      </c>
      <c r="L110" s="4">
        <f t="shared" si="63"/>
        <v>8125</v>
      </c>
      <c r="M110" s="4">
        <f t="shared" si="63"/>
        <v>8125</v>
      </c>
      <c r="N110" s="4">
        <f t="shared" si="63"/>
        <v>8125</v>
      </c>
      <c r="O110" s="4">
        <f t="shared" si="63"/>
        <v>8125</v>
      </c>
      <c r="P110" s="4">
        <f t="shared" si="63"/>
        <v>8125</v>
      </c>
      <c r="Q110" s="4">
        <f t="shared" si="63"/>
        <v>8125</v>
      </c>
      <c r="R110" s="4">
        <f t="shared" si="63"/>
        <v>8125</v>
      </c>
      <c r="S110" s="4">
        <f>SUM(G110:R110)</f>
        <v>97500</v>
      </c>
    </row>
    <row r="111" spans="2:19" hidden="1" x14ac:dyDescent="0.2">
      <c r="B111" s="5"/>
      <c r="C111" t="s">
        <v>78</v>
      </c>
      <c r="E111" s="3" t="s">
        <v>139</v>
      </c>
      <c r="F111" s="14">
        <v>0</v>
      </c>
      <c r="G111" s="14">
        <f>+F111/4</f>
        <v>0</v>
      </c>
      <c r="H111" s="14">
        <f>+(F111-G111)/11</f>
        <v>0</v>
      </c>
      <c r="I111" s="14">
        <f t="shared" ref="I111:R111" si="64">+H111</f>
        <v>0</v>
      </c>
      <c r="J111" s="14">
        <f t="shared" si="64"/>
        <v>0</v>
      </c>
      <c r="K111" s="14">
        <f t="shared" si="64"/>
        <v>0</v>
      </c>
      <c r="L111" s="14">
        <f t="shared" si="64"/>
        <v>0</v>
      </c>
      <c r="M111" s="14">
        <f t="shared" si="64"/>
        <v>0</v>
      </c>
      <c r="N111" s="14">
        <f t="shared" si="64"/>
        <v>0</v>
      </c>
      <c r="O111" s="14">
        <f t="shared" si="64"/>
        <v>0</v>
      </c>
      <c r="P111" s="14">
        <f t="shared" si="64"/>
        <v>0</v>
      </c>
      <c r="Q111" s="14">
        <f t="shared" si="64"/>
        <v>0</v>
      </c>
      <c r="R111" s="14">
        <f t="shared" si="64"/>
        <v>0</v>
      </c>
      <c r="S111" s="14">
        <f>SUM(G111:R111)</f>
        <v>0</v>
      </c>
    </row>
    <row r="112" spans="2:19" ht="15" hidden="1" x14ac:dyDescent="0.35">
      <c r="B112" s="5"/>
      <c r="C112" t="s">
        <v>79</v>
      </c>
      <c r="E112" s="3" t="s">
        <v>54</v>
      </c>
      <c r="F112" s="4">
        <v>0</v>
      </c>
      <c r="G112" s="4">
        <f>+F112/4</f>
        <v>0</v>
      </c>
      <c r="H112" s="4">
        <f>+(F112-G112)/11</f>
        <v>0</v>
      </c>
      <c r="I112" s="4">
        <f t="shared" ref="I112:R112" si="65">+H112</f>
        <v>0</v>
      </c>
      <c r="J112" s="4">
        <f t="shared" si="65"/>
        <v>0</v>
      </c>
      <c r="K112" s="4">
        <f t="shared" si="65"/>
        <v>0</v>
      </c>
      <c r="L112" s="4">
        <f t="shared" si="65"/>
        <v>0</v>
      </c>
      <c r="M112" s="4">
        <f t="shared" si="65"/>
        <v>0</v>
      </c>
      <c r="N112" s="4">
        <f t="shared" si="65"/>
        <v>0</v>
      </c>
      <c r="O112" s="4">
        <f t="shared" si="65"/>
        <v>0</v>
      </c>
      <c r="P112" s="4">
        <f t="shared" si="65"/>
        <v>0</v>
      </c>
      <c r="Q112" s="4">
        <f t="shared" si="65"/>
        <v>0</v>
      </c>
      <c r="R112" s="4">
        <f t="shared" si="65"/>
        <v>0</v>
      </c>
      <c r="S112" s="4">
        <f>SUM(G112:R112)</f>
        <v>0</v>
      </c>
    </row>
    <row r="113" spans="2:19" ht="15" x14ac:dyDescent="0.35">
      <c r="B113" s="5" t="s">
        <v>77</v>
      </c>
      <c r="C113" s="5"/>
      <c r="D113" s="5"/>
      <c r="E113" s="9"/>
      <c r="F113" s="6">
        <v>97500</v>
      </c>
      <c r="G113" s="6">
        <f t="shared" ref="G113:S113" si="66">SUM(G110:G112)</f>
        <v>8125</v>
      </c>
      <c r="H113" s="6">
        <f t="shared" si="66"/>
        <v>8125</v>
      </c>
      <c r="I113" s="6">
        <f t="shared" si="66"/>
        <v>8125</v>
      </c>
      <c r="J113" s="6">
        <f t="shared" si="66"/>
        <v>8125</v>
      </c>
      <c r="K113" s="6">
        <f t="shared" si="66"/>
        <v>8125</v>
      </c>
      <c r="L113" s="6">
        <f t="shared" si="66"/>
        <v>8125</v>
      </c>
      <c r="M113" s="6">
        <f t="shared" si="66"/>
        <v>8125</v>
      </c>
      <c r="N113" s="6">
        <f t="shared" si="66"/>
        <v>8125</v>
      </c>
      <c r="O113" s="6">
        <f t="shared" si="66"/>
        <v>8125</v>
      </c>
      <c r="P113" s="6">
        <f t="shared" si="66"/>
        <v>8125</v>
      </c>
      <c r="Q113" s="6">
        <f t="shared" si="66"/>
        <v>8125</v>
      </c>
      <c r="R113" s="6">
        <f t="shared" si="66"/>
        <v>8125</v>
      </c>
      <c r="S113" s="6">
        <f t="shared" si="66"/>
        <v>97500</v>
      </c>
    </row>
    <row r="114" spans="2:19" hidden="1" x14ac:dyDescent="0.2"/>
    <row r="115" spans="2:19" hidden="1" x14ac:dyDescent="0.2">
      <c r="B115" s="5" t="s">
        <v>34</v>
      </c>
    </row>
    <row r="116" spans="2:19" hidden="1" x14ac:dyDescent="0.2">
      <c r="C116" t="s">
        <v>46</v>
      </c>
      <c r="E116" s="11" t="s">
        <v>85</v>
      </c>
      <c r="F116" s="14">
        <v>0</v>
      </c>
    </row>
    <row r="117" spans="2:19" ht="15" hidden="1" x14ac:dyDescent="0.35">
      <c r="C117" t="s">
        <v>47</v>
      </c>
      <c r="E117" s="11" t="s">
        <v>86</v>
      </c>
      <c r="F117" s="4">
        <v>0</v>
      </c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</row>
    <row r="118" spans="2:19" ht="15" hidden="1" x14ac:dyDescent="0.35">
      <c r="B118" s="5" t="s">
        <v>48</v>
      </c>
      <c r="C118" s="5"/>
      <c r="D118" s="5"/>
      <c r="E118" s="9"/>
      <c r="F118" s="6">
        <v>0</v>
      </c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</row>
    <row r="119" spans="2:19" ht="15" x14ac:dyDescent="0.35">
      <c r="B119" s="5"/>
      <c r="C119" s="5"/>
      <c r="D119" s="5"/>
      <c r="E119" s="9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</row>
    <row r="120" spans="2:19" x14ac:dyDescent="0.2">
      <c r="B120" s="5" t="s">
        <v>80</v>
      </c>
    </row>
    <row r="121" spans="2:19" ht="15" x14ac:dyDescent="0.35">
      <c r="C121" t="s">
        <v>147</v>
      </c>
      <c r="E121" s="3" t="s">
        <v>135</v>
      </c>
      <c r="F121" s="4">
        <v>18337.674239999997</v>
      </c>
      <c r="G121" s="4">
        <v>0</v>
      </c>
      <c r="H121" s="4">
        <f>+F121/10</f>
        <v>1833.7674239999997</v>
      </c>
      <c r="I121" s="4">
        <f t="shared" ref="I121:Q121" si="67">+H121</f>
        <v>1833.7674239999997</v>
      </c>
      <c r="J121" s="4">
        <f t="shared" si="67"/>
        <v>1833.7674239999997</v>
      </c>
      <c r="K121" s="4">
        <f t="shared" si="67"/>
        <v>1833.7674239999997</v>
      </c>
      <c r="L121" s="4">
        <f t="shared" si="67"/>
        <v>1833.7674239999997</v>
      </c>
      <c r="M121" s="4">
        <f t="shared" si="67"/>
        <v>1833.7674239999997</v>
      </c>
      <c r="N121" s="4">
        <f t="shared" si="67"/>
        <v>1833.7674239999997</v>
      </c>
      <c r="O121" s="4">
        <f t="shared" si="67"/>
        <v>1833.7674239999997</v>
      </c>
      <c r="P121" s="4">
        <f t="shared" si="67"/>
        <v>1833.7674239999997</v>
      </c>
      <c r="Q121" s="4">
        <f t="shared" si="67"/>
        <v>1833.7674239999997</v>
      </c>
      <c r="R121" s="4">
        <v>0</v>
      </c>
      <c r="S121" s="4">
        <f>SUM(G121:R121)</f>
        <v>18337.674239999993</v>
      </c>
    </row>
    <row r="122" spans="2:19" ht="15" x14ac:dyDescent="0.35">
      <c r="D122" s="5" t="s">
        <v>148</v>
      </c>
      <c r="E122" s="9"/>
      <c r="F122" s="6">
        <v>18337.674239999997</v>
      </c>
      <c r="G122" s="6">
        <f t="shared" ref="G122:S122" si="68">SUM(G121)</f>
        <v>0</v>
      </c>
      <c r="H122" s="6">
        <f t="shared" si="68"/>
        <v>1833.7674239999997</v>
      </c>
      <c r="I122" s="6">
        <f t="shared" si="68"/>
        <v>1833.7674239999997</v>
      </c>
      <c r="J122" s="6">
        <f t="shared" si="68"/>
        <v>1833.7674239999997</v>
      </c>
      <c r="K122" s="6">
        <f t="shared" si="68"/>
        <v>1833.7674239999997</v>
      </c>
      <c r="L122" s="6">
        <f t="shared" si="68"/>
        <v>1833.7674239999997</v>
      </c>
      <c r="M122" s="6">
        <f t="shared" si="68"/>
        <v>1833.7674239999997</v>
      </c>
      <c r="N122" s="6">
        <f t="shared" si="68"/>
        <v>1833.7674239999997</v>
      </c>
      <c r="O122" s="6">
        <f t="shared" si="68"/>
        <v>1833.7674239999997</v>
      </c>
      <c r="P122" s="6">
        <f t="shared" si="68"/>
        <v>1833.7674239999997</v>
      </c>
      <c r="Q122" s="6">
        <f t="shared" si="68"/>
        <v>1833.7674239999997</v>
      </c>
      <c r="R122" s="6">
        <f t="shared" si="68"/>
        <v>0</v>
      </c>
      <c r="S122" s="6">
        <f t="shared" si="68"/>
        <v>18337.674239999993</v>
      </c>
    </row>
    <row r="123" spans="2:19" x14ac:dyDescent="0.2">
      <c r="C123" t="s">
        <v>7</v>
      </c>
      <c r="E123" s="13">
        <v>1.4999999999999999E-2</v>
      </c>
      <c r="F123" s="14">
        <v>275.06511359999996</v>
      </c>
      <c r="G123" s="14">
        <f t="shared" ref="G123:R126" si="69">+$F123/$F$122*G$122</f>
        <v>0</v>
      </c>
      <c r="H123" s="14">
        <f t="shared" si="69"/>
        <v>27.506511359999998</v>
      </c>
      <c r="I123" s="14">
        <f t="shared" si="69"/>
        <v>27.506511359999998</v>
      </c>
      <c r="J123" s="14">
        <f t="shared" si="69"/>
        <v>27.506511359999998</v>
      </c>
      <c r="K123" s="14">
        <f t="shared" si="69"/>
        <v>27.506511359999998</v>
      </c>
      <c r="L123" s="14">
        <f t="shared" si="69"/>
        <v>27.506511359999998</v>
      </c>
      <c r="M123" s="14">
        <f t="shared" si="69"/>
        <v>27.506511359999998</v>
      </c>
      <c r="N123" s="14">
        <f t="shared" si="69"/>
        <v>27.506511359999998</v>
      </c>
      <c r="O123" s="14">
        <f t="shared" si="69"/>
        <v>27.506511359999998</v>
      </c>
      <c r="P123" s="14">
        <f t="shared" si="69"/>
        <v>27.506511359999998</v>
      </c>
      <c r="Q123" s="14">
        <f t="shared" si="69"/>
        <v>27.506511359999998</v>
      </c>
      <c r="R123" s="14">
        <f t="shared" si="69"/>
        <v>0</v>
      </c>
      <c r="S123" s="14">
        <f>SUM(G123:R123)</f>
        <v>275.06511359999996</v>
      </c>
    </row>
    <row r="124" spans="2:19" x14ac:dyDescent="0.2">
      <c r="C124" t="s">
        <v>8</v>
      </c>
      <c r="E124" s="3" t="s">
        <v>52</v>
      </c>
      <c r="F124" s="14">
        <v>1780.8320793599996</v>
      </c>
      <c r="G124" s="14">
        <f t="shared" si="69"/>
        <v>0</v>
      </c>
      <c r="H124" s="14">
        <f t="shared" si="69"/>
        <v>178.08320793599998</v>
      </c>
      <c r="I124" s="14">
        <f t="shared" si="69"/>
        <v>178.08320793599998</v>
      </c>
      <c r="J124" s="14">
        <f t="shared" si="69"/>
        <v>178.08320793599998</v>
      </c>
      <c r="K124" s="14">
        <f t="shared" si="69"/>
        <v>178.08320793599998</v>
      </c>
      <c r="L124" s="14">
        <f t="shared" si="69"/>
        <v>178.08320793599998</v>
      </c>
      <c r="M124" s="14">
        <f t="shared" si="69"/>
        <v>178.08320793599998</v>
      </c>
      <c r="N124" s="14">
        <f t="shared" si="69"/>
        <v>178.08320793599998</v>
      </c>
      <c r="O124" s="14">
        <f t="shared" si="69"/>
        <v>178.08320793599998</v>
      </c>
      <c r="P124" s="14">
        <f t="shared" si="69"/>
        <v>178.08320793599998</v>
      </c>
      <c r="Q124" s="14">
        <f t="shared" si="69"/>
        <v>178.08320793599998</v>
      </c>
      <c r="R124" s="14">
        <f t="shared" si="69"/>
        <v>0</v>
      </c>
      <c r="S124" s="14">
        <f>SUM(G124:R124)</f>
        <v>1780.8320793599999</v>
      </c>
    </row>
    <row r="125" spans="2:19" hidden="1" x14ac:dyDescent="0.2">
      <c r="C125" t="s">
        <v>9</v>
      </c>
      <c r="E125" s="3" t="str">
        <f>CONCATENATE(ins," per month per employee")</f>
        <v>266.666666666666 per month per employee</v>
      </c>
      <c r="F125" s="14">
        <v>0</v>
      </c>
      <c r="G125" s="14">
        <f t="shared" si="69"/>
        <v>0</v>
      </c>
      <c r="H125" s="14">
        <f t="shared" si="69"/>
        <v>0</v>
      </c>
      <c r="I125" s="14">
        <f t="shared" si="69"/>
        <v>0</v>
      </c>
      <c r="J125" s="14">
        <f t="shared" si="69"/>
        <v>0</v>
      </c>
      <c r="K125" s="14">
        <f t="shared" si="69"/>
        <v>0</v>
      </c>
      <c r="L125" s="14">
        <f t="shared" si="69"/>
        <v>0</v>
      </c>
      <c r="M125" s="14">
        <f t="shared" si="69"/>
        <v>0</v>
      </c>
      <c r="N125" s="14">
        <f t="shared" si="69"/>
        <v>0</v>
      </c>
      <c r="O125" s="14">
        <f t="shared" si="69"/>
        <v>0</v>
      </c>
      <c r="P125" s="14">
        <f t="shared" si="69"/>
        <v>0</v>
      </c>
      <c r="Q125" s="14">
        <f t="shared" si="69"/>
        <v>0</v>
      </c>
      <c r="R125" s="14">
        <f t="shared" si="69"/>
        <v>0</v>
      </c>
      <c r="S125" s="14">
        <f>SUM(G125:R125)</f>
        <v>0</v>
      </c>
    </row>
    <row r="126" spans="2:19" ht="15" x14ac:dyDescent="0.35">
      <c r="C126" t="s">
        <v>10</v>
      </c>
      <c r="E126" s="11" t="s">
        <v>53</v>
      </c>
      <c r="F126" s="4">
        <v>183.37674239999998</v>
      </c>
      <c r="G126" s="4">
        <f t="shared" si="69"/>
        <v>0</v>
      </c>
      <c r="H126" s="4">
        <f t="shared" si="69"/>
        <v>18.337674239999998</v>
      </c>
      <c r="I126" s="4">
        <f t="shared" si="69"/>
        <v>18.337674239999998</v>
      </c>
      <c r="J126" s="4">
        <f t="shared" si="69"/>
        <v>18.337674239999998</v>
      </c>
      <c r="K126" s="4">
        <f t="shared" si="69"/>
        <v>18.337674239999998</v>
      </c>
      <c r="L126" s="4">
        <f t="shared" si="69"/>
        <v>18.337674239999998</v>
      </c>
      <c r="M126" s="4">
        <f t="shared" si="69"/>
        <v>18.337674239999998</v>
      </c>
      <c r="N126" s="4">
        <f t="shared" si="69"/>
        <v>18.337674239999998</v>
      </c>
      <c r="O126" s="4">
        <f t="shared" si="69"/>
        <v>18.337674239999998</v>
      </c>
      <c r="P126" s="4">
        <f t="shared" si="69"/>
        <v>18.337674239999998</v>
      </c>
      <c r="Q126" s="4">
        <f t="shared" si="69"/>
        <v>18.337674239999998</v>
      </c>
      <c r="R126" s="4">
        <f t="shared" si="69"/>
        <v>0</v>
      </c>
      <c r="S126" s="4">
        <f>SUM(G126:R126)</f>
        <v>183.37674240000001</v>
      </c>
    </row>
    <row r="127" spans="2:19" ht="15" x14ac:dyDescent="0.35">
      <c r="D127" s="5" t="s">
        <v>149</v>
      </c>
      <c r="E127" s="9"/>
      <c r="F127" s="6">
        <v>2239.2739353599995</v>
      </c>
      <c r="G127" s="6">
        <f t="shared" ref="G127:S127" si="70">SUM(G123:G126)</f>
        <v>0</v>
      </c>
      <c r="H127" s="6">
        <f t="shared" si="70"/>
        <v>223.92739353599995</v>
      </c>
      <c r="I127" s="6">
        <f t="shared" si="70"/>
        <v>223.92739353599995</v>
      </c>
      <c r="J127" s="6">
        <f t="shared" si="70"/>
        <v>223.92739353599995</v>
      </c>
      <c r="K127" s="6">
        <f t="shared" si="70"/>
        <v>223.92739353599995</v>
      </c>
      <c r="L127" s="6">
        <f t="shared" si="70"/>
        <v>223.92739353599995</v>
      </c>
      <c r="M127" s="6">
        <f t="shared" si="70"/>
        <v>223.92739353599995</v>
      </c>
      <c r="N127" s="6">
        <f t="shared" si="70"/>
        <v>223.92739353599995</v>
      </c>
      <c r="O127" s="6">
        <f t="shared" si="70"/>
        <v>223.92739353599995</v>
      </c>
      <c r="P127" s="6">
        <f t="shared" si="70"/>
        <v>223.92739353599995</v>
      </c>
      <c r="Q127" s="6">
        <f t="shared" si="70"/>
        <v>223.92739353599995</v>
      </c>
      <c r="R127" s="6">
        <f t="shared" si="70"/>
        <v>0</v>
      </c>
      <c r="S127" s="6">
        <f t="shared" si="70"/>
        <v>2239.27393536</v>
      </c>
    </row>
    <row r="128" spans="2:19" ht="15" x14ac:dyDescent="0.35">
      <c r="B128" s="5"/>
      <c r="C128" t="s">
        <v>11</v>
      </c>
      <c r="F128" s="4">
        <v>50428.604160000003</v>
      </c>
      <c r="G128" s="4">
        <f>1.1*180*G7*0.8</f>
        <v>0</v>
      </c>
      <c r="H128" s="4">
        <f>+F128/10</f>
        <v>5042.8604160000004</v>
      </c>
      <c r="I128" s="4">
        <f t="shared" ref="I128:Q128" si="71">+H128</f>
        <v>5042.8604160000004</v>
      </c>
      <c r="J128" s="4">
        <f t="shared" si="71"/>
        <v>5042.8604160000004</v>
      </c>
      <c r="K128" s="4">
        <f t="shared" si="71"/>
        <v>5042.8604160000004</v>
      </c>
      <c r="L128" s="4">
        <f t="shared" si="71"/>
        <v>5042.8604160000004</v>
      </c>
      <c r="M128" s="4">
        <f t="shared" si="71"/>
        <v>5042.8604160000004</v>
      </c>
      <c r="N128" s="4">
        <f t="shared" si="71"/>
        <v>5042.8604160000004</v>
      </c>
      <c r="O128" s="4">
        <f t="shared" si="71"/>
        <v>5042.8604160000004</v>
      </c>
      <c r="P128" s="4">
        <f t="shared" si="71"/>
        <v>5042.8604160000004</v>
      </c>
      <c r="Q128" s="4">
        <f t="shared" si="71"/>
        <v>5042.8604160000004</v>
      </c>
      <c r="R128" s="4">
        <v>0</v>
      </c>
      <c r="S128" s="4">
        <f>SUM(G128:R128)</f>
        <v>50428.60416000001</v>
      </c>
    </row>
    <row r="129" spans="2:19" ht="15" x14ac:dyDescent="0.35">
      <c r="D129" s="5" t="s">
        <v>150</v>
      </c>
      <c r="E129" s="9"/>
      <c r="F129" s="6">
        <v>50428.604160000003</v>
      </c>
      <c r="G129" s="6">
        <f t="shared" ref="G129:S129" si="72">SUM(G128)</f>
        <v>0</v>
      </c>
      <c r="H129" s="6">
        <f t="shared" si="72"/>
        <v>5042.8604160000004</v>
      </c>
      <c r="I129" s="6">
        <f t="shared" si="72"/>
        <v>5042.8604160000004</v>
      </c>
      <c r="J129" s="6">
        <f t="shared" si="72"/>
        <v>5042.8604160000004</v>
      </c>
      <c r="K129" s="6">
        <f t="shared" si="72"/>
        <v>5042.8604160000004</v>
      </c>
      <c r="L129" s="6">
        <f t="shared" si="72"/>
        <v>5042.8604160000004</v>
      </c>
      <c r="M129" s="6">
        <f t="shared" si="72"/>
        <v>5042.8604160000004</v>
      </c>
      <c r="N129" s="6">
        <f t="shared" si="72"/>
        <v>5042.8604160000004</v>
      </c>
      <c r="O129" s="6">
        <f t="shared" si="72"/>
        <v>5042.8604160000004</v>
      </c>
      <c r="P129" s="6">
        <f t="shared" si="72"/>
        <v>5042.8604160000004</v>
      </c>
      <c r="Q129" s="6">
        <f t="shared" si="72"/>
        <v>5042.8604160000004</v>
      </c>
      <c r="R129" s="6">
        <f t="shared" si="72"/>
        <v>0</v>
      </c>
      <c r="S129" s="6">
        <f t="shared" si="72"/>
        <v>50428.60416000001</v>
      </c>
    </row>
    <row r="130" spans="2:19" ht="15" x14ac:dyDescent="0.35">
      <c r="B130" s="5" t="s">
        <v>151</v>
      </c>
      <c r="C130" s="5"/>
      <c r="D130" s="5"/>
      <c r="E130" s="3" t="s">
        <v>141</v>
      </c>
      <c r="F130" s="6">
        <v>71005.55233536</v>
      </c>
      <c r="G130" s="6">
        <f t="shared" ref="G130:S130" si="73">+G122+G127+G129</f>
        <v>0</v>
      </c>
      <c r="H130" s="6">
        <f t="shared" si="73"/>
        <v>7100.5552335359998</v>
      </c>
      <c r="I130" s="6">
        <f t="shared" si="73"/>
        <v>7100.5552335359998</v>
      </c>
      <c r="J130" s="6">
        <f t="shared" si="73"/>
        <v>7100.5552335359998</v>
      </c>
      <c r="K130" s="6">
        <f t="shared" si="73"/>
        <v>7100.5552335359998</v>
      </c>
      <c r="L130" s="6">
        <f t="shared" si="73"/>
        <v>7100.5552335359998</v>
      </c>
      <c r="M130" s="6">
        <f t="shared" si="73"/>
        <v>7100.5552335359998</v>
      </c>
      <c r="N130" s="6">
        <f t="shared" si="73"/>
        <v>7100.5552335359998</v>
      </c>
      <c r="O130" s="6">
        <f t="shared" si="73"/>
        <v>7100.5552335359998</v>
      </c>
      <c r="P130" s="6">
        <f t="shared" si="73"/>
        <v>7100.5552335359998</v>
      </c>
      <c r="Q130" s="6">
        <f t="shared" si="73"/>
        <v>7100.5552335359998</v>
      </c>
      <c r="R130" s="6">
        <f t="shared" si="73"/>
        <v>0</v>
      </c>
      <c r="S130" s="6">
        <f t="shared" si="73"/>
        <v>71005.55233536</v>
      </c>
    </row>
    <row r="132" spans="2:19" x14ac:dyDescent="0.2">
      <c r="B132" s="5" t="s">
        <v>35</v>
      </c>
    </row>
    <row r="133" spans="2:19" ht="15" x14ac:dyDescent="0.35">
      <c r="C133" s="5" t="s">
        <v>11</v>
      </c>
      <c r="D133" s="5"/>
      <c r="E133" s="3" t="s">
        <v>108</v>
      </c>
      <c r="F133" s="6">
        <v>96105.6495</v>
      </c>
      <c r="G133" s="6">
        <v>0</v>
      </c>
      <c r="H133" s="6">
        <f>+F133/10</f>
        <v>9610.56495</v>
      </c>
      <c r="I133" s="6">
        <f t="shared" ref="I133:Q133" si="74">+H133</f>
        <v>9610.56495</v>
      </c>
      <c r="J133" s="6">
        <f t="shared" si="74"/>
        <v>9610.56495</v>
      </c>
      <c r="K133" s="6">
        <f t="shared" si="74"/>
        <v>9610.56495</v>
      </c>
      <c r="L133" s="6">
        <f t="shared" si="74"/>
        <v>9610.56495</v>
      </c>
      <c r="M133" s="6">
        <f t="shared" si="74"/>
        <v>9610.56495</v>
      </c>
      <c r="N133" s="6">
        <f t="shared" si="74"/>
        <v>9610.56495</v>
      </c>
      <c r="O133" s="6">
        <f t="shared" si="74"/>
        <v>9610.56495</v>
      </c>
      <c r="P133" s="6">
        <f t="shared" si="74"/>
        <v>9610.56495</v>
      </c>
      <c r="Q133" s="6">
        <f t="shared" si="74"/>
        <v>9610.56495</v>
      </c>
      <c r="R133" s="6">
        <v>0</v>
      </c>
      <c r="S133" s="6">
        <f>SUM(G133:R133)</f>
        <v>96105.6495</v>
      </c>
    </row>
    <row r="135" spans="2:19" x14ac:dyDescent="0.2">
      <c r="B135" s="5" t="s">
        <v>36</v>
      </c>
    </row>
    <row r="136" spans="2:19" ht="15" x14ac:dyDescent="0.35">
      <c r="C136" t="s">
        <v>152</v>
      </c>
      <c r="E136" s="3" t="s">
        <v>135</v>
      </c>
      <c r="F136" s="4">
        <v>37142.28</v>
      </c>
      <c r="G136" s="4">
        <f>+F136/12</f>
        <v>3095.19</v>
      </c>
      <c r="H136" s="4">
        <f t="shared" ref="H136:R136" si="75">+G136</f>
        <v>3095.19</v>
      </c>
      <c r="I136" s="4">
        <f t="shared" si="75"/>
        <v>3095.19</v>
      </c>
      <c r="J136" s="4">
        <f t="shared" si="75"/>
        <v>3095.19</v>
      </c>
      <c r="K136" s="4">
        <f t="shared" si="75"/>
        <v>3095.19</v>
      </c>
      <c r="L136" s="4">
        <f t="shared" si="75"/>
        <v>3095.19</v>
      </c>
      <c r="M136" s="4">
        <f t="shared" si="75"/>
        <v>3095.19</v>
      </c>
      <c r="N136" s="4">
        <f t="shared" si="75"/>
        <v>3095.19</v>
      </c>
      <c r="O136" s="4">
        <f t="shared" si="75"/>
        <v>3095.19</v>
      </c>
      <c r="P136" s="4">
        <f t="shared" si="75"/>
        <v>3095.19</v>
      </c>
      <c r="Q136" s="4">
        <f t="shared" si="75"/>
        <v>3095.19</v>
      </c>
      <c r="R136" s="4">
        <f t="shared" si="75"/>
        <v>3095.19</v>
      </c>
      <c r="S136" s="4">
        <f>SUM(G136:R136)</f>
        <v>37142.28</v>
      </c>
    </row>
    <row r="137" spans="2:19" ht="15" x14ac:dyDescent="0.35">
      <c r="D137" s="5" t="s">
        <v>153</v>
      </c>
      <c r="E137" s="9"/>
      <c r="F137" s="6">
        <v>37142.28</v>
      </c>
      <c r="G137" s="6">
        <f t="shared" ref="G137:S137" si="76">SUM(G136)</f>
        <v>3095.19</v>
      </c>
      <c r="H137" s="6">
        <f t="shared" si="76"/>
        <v>3095.19</v>
      </c>
      <c r="I137" s="6">
        <f t="shared" si="76"/>
        <v>3095.19</v>
      </c>
      <c r="J137" s="6">
        <f t="shared" si="76"/>
        <v>3095.19</v>
      </c>
      <c r="K137" s="6">
        <f t="shared" si="76"/>
        <v>3095.19</v>
      </c>
      <c r="L137" s="6">
        <f t="shared" si="76"/>
        <v>3095.19</v>
      </c>
      <c r="M137" s="6">
        <f t="shared" si="76"/>
        <v>3095.19</v>
      </c>
      <c r="N137" s="6">
        <f t="shared" si="76"/>
        <v>3095.19</v>
      </c>
      <c r="O137" s="6">
        <f t="shared" si="76"/>
        <v>3095.19</v>
      </c>
      <c r="P137" s="6">
        <f t="shared" si="76"/>
        <v>3095.19</v>
      </c>
      <c r="Q137" s="6">
        <f t="shared" si="76"/>
        <v>3095.19</v>
      </c>
      <c r="R137" s="6">
        <f t="shared" si="76"/>
        <v>3095.19</v>
      </c>
      <c r="S137" s="6">
        <f t="shared" si="76"/>
        <v>37142.28</v>
      </c>
    </row>
    <row r="138" spans="2:19" x14ac:dyDescent="0.2">
      <c r="C138" t="s">
        <v>7</v>
      </c>
      <c r="E138" s="13">
        <v>1.4999999999999999E-2</v>
      </c>
      <c r="F138" s="14">
        <v>557.13419999999996</v>
      </c>
      <c r="G138" s="14">
        <f t="shared" ref="G138:R141" si="77">+$F138/$F$137*G$137</f>
        <v>46.427849999999999</v>
      </c>
      <c r="H138" s="14">
        <f t="shared" si="77"/>
        <v>46.427849999999999</v>
      </c>
      <c r="I138" s="14">
        <f t="shared" si="77"/>
        <v>46.427849999999999</v>
      </c>
      <c r="J138" s="14">
        <f t="shared" si="77"/>
        <v>46.427849999999999</v>
      </c>
      <c r="K138" s="14">
        <f t="shared" si="77"/>
        <v>46.427849999999999</v>
      </c>
      <c r="L138" s="14">
        <f t="shared" si="77"/>
        <v>46.427849999999999</v>
      </c>
      <c r="M138" s="14">
        <f t="shared" si="77"/>
        <v>46.427849999999999</v>
      </c>
      <c r="N138" s="14">
        <f t="shared" si="77"/>
        <v>46.427849999999999</v>
      </c>
      <c r="O138" s="14">
        <f t="shared" si="77"/>
        <v>46.427849999999999</v>
      </c>
      <c r="P138" s="14">
        <f t="shared" si="77"/>
        <v>46.427849999999999</v>
      </c>
      <c r="Q138" s="14">
        <f t="shared" si="77"/>
        <v>46.427849999999999</v>
      </c>
      <c r="R138" s="14">
        <f t="shared" si="77"/>
        <v>46.427849999999999</v>
      </c>
      <c r="S138" s="14">
        <f>SUM(G138:R138)</f>
        <v>557.13419999999985</v>
      </c>
    </row>
    <row r="139" spans="2:19" x14ac:dyDescent="0.2">
      <c r="C139" t="s">
        <v>8</v>
      </c>
      <c r="E139" s="3" t="s">
        <v>52</v>
      </c>
      <c r="F139" s="14">
        <v>3219.3844199999999</v>
      </c>
      <c r="G139" s="14">
        <f t="shared" si="77"/>
        <v>268.28203500000001</v>
      </c>
      <c r="H139" s="14">
        <f t="shared" si="77"/>
        <v>268.28203500000001</v>
      </c>
      <c r="I139" s="14">
        <f t="shared" si="77"/>
        <v>268.28203500000001</v>
      </c>
      <c r="J139" s="14">
        <f t="shared" si="77"/>
        <v>268.28203500000001</v>
      </c>
      <c r="K139" s="14">
        <f t="shared" si="77"/>
        <v>268.28203500000001</v>
      </c>
      <c r="L139" s="14">
        <f t="shared" si="77"/>
        <v>268.28203500000001</v>
      </c>
      <c r="M139" s="14">
        <f t="shared" si="77"/>
        <v>268.28203500000001</v>
      </c>
      <c r="N139" s="14">
        <f t="shared" si="77"/>
        <v>268.28203500000001</v>
      </c>
      <c r="O139" s="14">
        <f t="shared" si="77"/>
        <v>268.28203500000001</v>
      </c>
      <c r="P139" s="14">
        <f t="shared" si="77"/>
        <v>268.28203500000001</v>
      </c>
      <c r="Q139" s="14">
        <f t="shared" si="77"/>
        <v>268.28203500000001</v>
      </c>
      <c r="R139" s="14">
        <f t="shared" si="77"/>
        <v>268.28203500000001</v>
      </c>
      <c r="S139" s="14">
        <f>SUM(G139:R139)</f>
        <v>3219.3844200000008</v>
      </c>
    </row>
    <row r="140" spans="2:19" x14ac:dyDescent="0.2">
      <c r="C140" t="s">
        <v>9</v>
      </c>
      <c r="E140" s="3" t="str">
        <f>CONCATENATE(ins," per month per employee")</f>
        <v>266.666666666666 per month per employee</v>
      </c>
      <c r="F140" s="14">
        <v>3183.6239999999998</v>
      </c>
      <c r="G140" s="14">
        <f t="shared" si="77"/>
        <v>265.30200000000002</v>
      </c>
      <c r="H140" s="14">
        <f t="shared" si="77"/>
        <v>265.30200000000002</v>
      </c>
      <c r="I140" s="14">
        <f t="shared" si="77"/>
        <v>265.30200000000002</v>
      </c>
      <c r="J140" s="14">
        <f t="shared" si="77"/>
        <v>265.30200000000002</v>
      </c>
      <c r="K140" s="14">
        <f t="shared" si="77"/>
        <v>265.30200000000002</v>
      </c>
      <c r="L140" s="14">
        <f t="shared" si="77"/>
        <v>265.30200000000002</v>
      </c>
      <c r="M140" s="14">
        <f t="shared" si="77"/>
        <v>265.30200000000002</v>
      </c>
      <c r="N140" s="14">
        <f t="shared" si="77"/>
        <v>265.30200000000002</v>
      </c>
      <c r="O140" s="14">
        <f t="shared" si="77"/>
        <v>265.30200000000002</v>
      </c>
      <c r="P140" s="14">
        <f t="shared" si="77"/>
        <v>265.30200000000002</v>
      </c>
      <c r="Q140" s="14">
        <f t="shared" si="77"/>
        <v>265.30200000000002</v>
      </c>
      <c r="R140" s="14">
        <f t="shared" si="77"/>
        <v>265.30200000000002</v>
      </c>
      <c r="S140" s="14">
        <f>SUM(G140:R140)</f>
        <v>3183.6240000000012</v>
      </c>
    </row>
    <row r="141" spans="2:19" ht="15" x14ac:dyDescent="0.35">
      <c r="C141" t="s">
        <v>10</v>
      </c>
      <c r="E141" s="11" t="s">
        <v>53</v>
      </c>
      <c r="F141" s="4">
        <v>371.4228</v>
      </c>
      <c r="G141" s="4">
        <f t="shared" si="77"/>
        <v>30.951900000000002</v>
      </c>
      <c r="H141" s="4">
        <f t="shared" si="77"/>
        <v>30.951900000000002</v>
      </c>
      <c r="I141" s="4">
        <f t="shared" si="77"/>
        <v>30.951900000000002</v>
      </c>
      <c r="J141" s="4">
        <f t="shared" si="77"/>
        <v>30.951900000000002</v>
      </c>
      <c r="K141" s="4">
        <f t="shared" si="77"/>
        <v>30.951900000000002</v>
      </c>
      <c r="L141" s="4">
        <f t="shared" si="77"/>
        <v>30.951900000000002</v>
      </c>
      <c r="M141" s="4">
        <f t="shared" si="77"/>
        <v>30.951900000000002</v>
      </c>
      <c r="N141" s="4">
        <f t="shared" si="77"/>
        <v>30.951900000000002</v>
      </c>
      <c r="O141" s="4">
        <f t="shared" si="77"/>
        <v>30.951900000000002</v>
      </c>
      <c r="P141" s="4">
        <f t="shared" si="77"/>
        <v>30.951900000000002</v>
      </c>
      <c r="Q141" s="4">
        <f t="shared" si="77"/>
        <v>30.951900000000002</v>
      </c>
      <c r="R141" s="4">
        <f t="shared" si="77"/>
        <v>30.951900000000002</v>
      </c>
      <c r="S141" s="4">
        <f>SUM(G141:R141)</f>
        <v>371.42280000000005</v>
      </c>
    </row>
    <row r="142" spans="2:19" ht="15" x14ac:dyDescent="0.35">
      <c r="D142" s="5" t="s">
        <v>154</v>
      </c>
      <c r="E142" s="9"/>
      <c r="F142" s="6">
        <v>7331.5654199999999</v>
      </c>
      <c r="G142" s="6">
        <f t="shared" ref="G142:S142" si="78">SUM(G138:G141)</f>
        <v>610.96378500000003</v>
      </c>
      <c r="H142" s="6">
        <f t="shared" si="78"/>
        <v>610.96378500000003</v>
      </c>
      <c r="I142" s="6">
        <f t="shared" si="78"/>
        <v>610.96378500000003</v>
      </c>
      <c r="J142" s="6">
        <f t="shared" si="78"/>
        <v>610.96378500000003</v>
      </c>
      <c r="K142" s="6">
        <f t="shared" si="78"/>
        <v>610.96378500000003</v>
      </c>
      <c r="L142" s="6">
        <f t="shared" si="78"/>
        <v>610.96378500000003</v>
      </c>
      <c r="M142" s="6">
        <f t="shared" si="78"/>
        <v>610.96378500000003</v>
      </c>
      <c r="N142" s="6">
        <f t="shared" si="78"/>
        <v>610.96378500000003</v>
      </c>
      <c r="O142" s="6">
        <f t="shared" si="78"/>
        <v>610.96378500000003</v>
      </c>
      <c r="P142" s="6">
        <f t="shared" si="78"/>
        <v>610.96378500000003</v>
      </c>
      <c r="Q142" s="6">
        <f t="shared" si="78"/>
        <v>610.96378500000003</v>
      </c>
      <c r="R142" s="6">
        <f t="shared" si="78"/>
        <v>610.96378500000003</v>
      </c>
      <c r="S142" s="6">
        <f t="shared" si="78"/>
        <v>7331.5654200000026</v>
      </c>
    </row>
    <row r="143" spans="2:19" x14ac:dyDescent="0.2">
      <c r="C143" t="s">
        <v>11</v>
      </c>
      <c r="F143" s="14">
        <v>1273.4496000000001</v>
      </c>
      <c r="G143" s="14">
        <f>+F143/12</f>
        <v>106.12080000000002</v>
      </c>
      <c r="H143" s="14">
        <f t="shared" ref="H143:R143" si="79">+G143</f>
        <v>106.12080000000002</v>
      </c>
      <c r="I143" s="14">
        <f t="shared" si="79"/>
        <v>106.12080000000002</v>
      </c>
      <c r="J143" s="14">
        <f t="shared" si="79"/>
        <v>106.12080000000002</v>
      </c>
      <c r="K143" s="14">
        <f t="shared" si="79"/>
        <v>106.12080000000002</v>
      </c>
      <c r="L143" s="14">
        <f t="shared" si="79"/>
        <v>106.12080000000002</v>
      </c>
      <c r="M143" s="14">
        <f t="shared" si="79"/>
        <v>106.12080000000002</v>
      </c>
      <c r="N143" s="14">
        <f t="shared" si="79"/>
        <v>106.12080000000002</v>
      </c>
      <c r="O143" s="14">
        <f t="shared" si="79"/>
        <v>106.12080000000002</v>
      </c>
      <c r="P143" s="14">
        <f t="shared" si="79"/>
        <v>106.12080000000002</v>
      </c>
      <c r="Q143" s="14">
        <f t="shared" si="79"/>
        <v>106.12080000000002</v>
      </c>
      <c r="R143" s="14">
        <f t="shared" si="79"/>
        <v>106.12080000000002</v>
      </c>
      <c r="S143" s="14">
        <f t="shared" ref="S143:S148" si="80">SUM(G143:R143)</f>
        <v>1273.4495999999999</v>
      </c>
    </row>
    <row r="144" spans="2:19" x14ac:dyDescent="0.2">
      <c r="C144" t="s">
        <v>21</v>
      </c>
      <c r="F144" s="14">
        <v>3183.6240000000003</v>
      </c>
      <c r="G144" s="14">
        <f>+F144</f>
        <v>3183.6240000000003</v>
      </c>
      <c r="H144" s="14">
        <v>0</v>
      </c>
      <c r="I144" s="14">
        <f t="shared" ref="I144:R144" si="81">+H144</f>
        <v>0</v>
      </c>
      <c r="J144" s="14">
        <f t="shared" si="81"/>
        <v>0</v>
      </c>
      <c r="K144" s="14">
        <f t="shared" si="81"/>
        <v>0</v>
      </c>
      <c r="L144" s="14">
        <f t="shared" si="81"/>
        <v>0</v>
      </c>
      <c r="M144" s="14">
        <f t="shared" si="81"/>
        <v>0</v>
      </c>
      <c r="N144" s="14">
        <f t="shared" si="81"/>
        <v>0</v>
      </c>
      <c r="O144" s="14">
        <f t="shared" si="81"/>
        <v>0</v>
      </c>
      <c r="P144" s="14">
        <f t="shared" si="81"/>
        <v>0</v>
      </c>
      <c r="Q144" s="14">
        <f t="shared" si="81"/>
        <v>0</v>
      </c>
      <c r="R144" s="14">
        <f t="shared" si="81"/>
        <v>0</v>
      </c>
      <c r="S144" s="14">
        <f t="shared" si="80"/>
        <v>3183.6240000000003</v>
      </c>
    </row>
    <row r="145" spans="1:19" x14ac:dyDescent="0.2">
      <c r="C145" t="s">
        <v>37</v>
      </c>
      <c r="F145" s="14">
        <v>5093.7984000000006</v>
      </c>
      <c r="G145" s="14">
        <f>+F145/12</f>
        <v>424.48320000000007</v>
      </c>
      <c r="H145" s="14">
        <f>+G145</f>
        <v>424.48320000000007</v>
      </c>
      <c r="I145" s="14">
        <f t="shared" ref="I145:R145" si="82">+H145</f>
        <v>424.48320000000007</v>
      </c>
      <c r="J145" s="14">
        <f t="shared" si="82"/>
        <v>424.48320000000007</v>
      </c>
      <c r="K145" s="14">
        <f t="shared" si="82"/>
        <v>424.48320000000007</v>
      </c>
      <c r="L145" s="14">
        <f t="shared" si="82"/>
        <v>424.48320000000007</v>
      </c>
      <c r="M145" s="14">
        <f t="shared" si="82"/>
        <v>424.48320000000007</v>
      </c>
      <c r="N145" s="14">
        <f t="shared" si="82"/>
        <v>424.48320000000007</v>
      </c>
      <c r="O145" s="14">
        <f t="shared" si="82"/>
        <v>424.48320000000007</v>
      </c>
      <c r="P145" s="14">
        <f t="shared" si="82"/>
        <v>424.48320000000007</v>
      </c>
      <c r="Q145" s="14">
        <f t="shared" si="82"/>
        <v>424.48320000000007</v>
      </c>
      <c r="R145" s="14">
        <f t="shared" si="82"/>
        <v>424.48320000000007</v>
      </c>
      <c r="S145" s="14">
        <f t="shared" si="80"/>
        <v>5093.7983999999997</v>
      </c>
    </row>
    <row r="146" spans="1:19" x14ac:dyDescent="0.2">
      <c r="C146" t="s">
        <v>38</v>
      </c>
      <c r="F146" s="14">
        <v>16320.911334346509</v>
      </c>
      <c r="G146" s="14">
        <f>+F146/12</f>
        <v>1360.0759445288757</v>
      </c>
      <c r="H146" s="14">
        <f>+G146</f>
        <v>1360.0759445288757</v>
      </c>
      <c r="I146" s="14">
        <f t="shared" ref="I146:R146" si="83">+H146</f>
        <v>1360.0759445288757</v>
      </c>
      <c r="J146" s="14">
        <f t="shared" si="83"/>
        <v>1360.0759445288757</v>
      </c>
      <c r="K146" s="14">
        <f t="shared" si="83"/>
        <v>1360.0759445288757</v>
      </c>
      <c r="L146" s="14">
        <f t="shared" si="83"/>
        <v>1360.0759445288757</v>
      </c>
      <c r="M146" s="14">
        <f t="shared" si="83"/>
        <v>1360.0759445288757</v>
      </c>
      <c r="N146" s="14">
        <f t="shared" si="83"/>
        <v>1360.0759445288757</v>
      </c>
      <c r="O146" s="14">
        <f t="shared" si="83"/>
        <v>1360.0759445288757</v>
      </c>
      <c r="P146" s="14">
        <f t="shared" si="83"/>
        <v>1360.0759445288757</v>
      </c>
      <c r="Q146" s="14">
        <f t="shared" si="83"/>
        <v>1360.0759445288757</v>
      </c>
      <c r="R146" s="14">
        <f t="shared" si="83"/>
        <v>1360.0759445288757</v>
      </c>
      <c r="S146" s="14">
        <f t="shared" si="80"/>
        <v>16320.911334346505</v>
      </c>
    </row>
    <row r="147" spans="1:19" x14ac:dyDescent="0.2">
      <c r="C147" t="s">
        <v>13</v>
      </c>
      <c r="F147" s="14">
        <v>3234.7218425668084</v>
      </c>
      <c r="G147" s="14">
        <f>+F147/4</f>
        <v>808.6804606417021</v>
      </c>
      <c r="H147" s="14">
        <f>+(F147-G147)/11</f>
        <v>220.54921653864602</v>
      </c>
      <c r="I147" s="14">
        <f t="shared" ref="I147:R147" si="84">+H147</f>
        <v>220.54921653864602</v>
      </c>
      <c r="J147" s="14">
        <f t="shared" si="84"/>
        <v>220.54921653864602</v>
      </c>
      <c r="K147" s="14">
        <f t="shared" si="84"/>
        <v>220.54921653864602</v>
      </c>
      <c r="L147" s="14">
        <f t="shared" si="84"/>
        <v>220.54921653864602</v>
      </c>
      <c r="M147" s="14">
        <f t="shared" si="84"/>
        <v>220.54921653864602</v>
      </c>
      <c r="N147" s="14">
        <f t="shared" si="84"/>
        <v>220.54921653864602</v>
      </c>
      <c r="O147" s="14">
        <f t="shared" si="84"/>
        <v>220.54921653864602</v>
      </c>
      <c r="P147" s="14">
        <f t="shared" si="84"/>
        <v>220.54921653864602</v>
      </c>
      <c r="Q147" s="14">
        <f t="shared" si="84"/>
        <v>220.54921653864602</v>
      </c>
      <c r="R147" s="14">
        <f t="shared" si="84"/>
        <v>220.54921653864602</v>
      </c>
      <c r="S147" s="14">
        <f t="shared" si="80"/>
        <v>3234.7218425668075</v>
      </c>
    </row>
    <row r="148" spans="1:19" ht="15" x14ac:dyDescent="0.35">
      <c r="C148" t="s">
        <v>15</v>
      </c>
      <c r="F148" s="4">
        <v>1061.2080000000001</v>
      </c>
      <c r="G148" s="4">
        <f>+F148/4</f>
        <v>265.30200000000002</v>
      </c>
      <c r="H148" s="4">
        <f>+(F148-G148)/11</f>
        <v>72.355090909090919</v>
      </c>
      <c r="I148" s="4">
        <f t="shared" ref="I148:R148" si="85">+H148</f>
        <v>72.355090909090919</v>
      </c>
      <c r="J148" s="4">
        <f t="shared" si="85"/>
        <v>72.355090909090919</v>
      </c>
      <c r="K148" s="4">
        <f t="shared" si="85"/>
        <v>72.355090909090919</v>
      </c>
      <c r="L148" s="4">
        <f t="shared" si="85"/>
        <v>72.355090909090919</v>
      </c>
      <c r="M148" s="4">
        <f t="shared" si="85"/>
        <v>72.355090909090919</v>
      </c>
      <c r="N148" s="4">
        <f t="shared" si="85"/>
        <v>72.355090909090919</v>
      </c>
      <c r="O148" s="4">
        <f t="shared" si="85"/>
        <v>72.355090909090919</v>
      </c>
      <c r="P148" s="4">
        <f t="shared" si="85"/>
        <v>72.355090909090919</v>
      </c>
      <c r="Q148" s="4">
        <f t="shared" si="85"/>
        <v>72.355090909090919</v>
      </c>
      <c r="R148" s="4">
        <f t="shared" si="85"/>
        <v>72.355090909090919</v>
      </c>
      <c r="S148" s="4">
        <f t="shared" si="80"/>
        <v>1061.2080000000001</v>
      </c>
    </row>
    <row r="149" spans="1:19" ht="15" x14ac:dyDescent="0.35">
      <c r="D149" s="5" t="s">
        <v>155</v>
      </c>
      <c r="E149" s="9"/>
      <c r="F149" s="6">
        <v>30167.713176913316</v>
      </c>
      <c r="G149" s="6">
        <f>SUM(G143:G148)</f>
        <v>6148.2864051705774</v>
      </c>
      <c r="H149" s="6">
        <f>SUM(H143:H148)</f>
        <v>2183.5842519766124</v>
      </c>
      <c r="I149" s="6">
        <f t="shared" ref="I149:N149" si="86">SUM(I143:I148)</f>
        <v>2183.5842519766124</v>
      </c>
      <c r="J149" s="6">
        <f t="shared" si="86"/>
        <v>2183.5842519766124</v>
      </c>
      <c r="K149" s="6">
        <f t="shared" si="86"/>
        <v>2183.5842519766124</v>
      </c>
      <c r="L149" s="6">
        <f t="shared" si="86"/>
        <v>2183.5842519766124</v>
      </c>
      <c r="M149" s="6">
        <f t="shared" si="86"/>
        <v>2183.5842519766124</v>
      </c>
      <c r="N149" s="6">
        <f t="shared" si="86"/>
        <v>2183.5842519766124</v>
      </c>
      <c r="O149" s="6">
        <f>SUM(O143:O148)</f>
        <v>2183.5842519766124</v>
      </c>
      <c r="P149" s="6">
        <f>SUM(P143:P148)</f>
        <v>2183.5842519766124</v>
      </c>
      <c r="Q149" s="6">
        <f>SUM(Q143:Q148)</f>
        <v>2183.5842519766124</v>
      </c>
      <c r="R149" s="6">
        <f>SUM(R143:R148)</f>
        <v>2183.5842519766124</v>
      </c>
      <c r="S149" s="6">
        <f>SUM(S143:S148)</f>
        <v>30167.713176913308</v>
      </c>
    </row>
    <row r="150" spans="1:19" ht="15" x14ac:dyDescent="0.35">
      <c r="A150" s="5"/>
      <c r="B150" s="5" t="s">
        <v>39</v>
      </c>
      <c r="C150" s="5"/>
      <c r="D150" s="5"/>
      <c r="E150" s="9"/>
      <c r="F150" s="6">
        <v>74641.55859691331</v>
      </c>
      <c r="G150" s="6">
        <f t="shared" ref="G150:S150" si="87">+G137+G142+G149</f>
        <v>9854.4401901705769</v>
      </c>
      <c r="H150" s="6">
        <f t="shared" si="87"/>
        <v>5889.7380369766124</v>
      </c>
      <c r="I150" s="6">
        <f t="shared" si="87"/>
        <v>5889.7380369766124</v>
      </c>
      <c r="J150" s="6">
        <f t="shared" si="87"/>
        <v>5889.7380369766124</v>
      </c>
      <c r="K150" s="6">
        <f t="shared" si="87"/>
        <v>5889.7380369766124</v>
      </c>
      <c r="L150" s="6">
        <f t="shared" si="87"/>
        <v>5889.7380369766124</v>
      </c>
      <c r="M150" s="6">
        <f t="shared" si="87"/>
        <v>5889.7380369766124</v>
      </c>
      <c r="N150" s="6">
        <f t="shared" si="87"/>
        <v>5889.7380369766124</v>
      </c>
      <c r="O150" s="6">
        <f t="shared" si="87"/>
        <v>5889.7380369766124</v>
      </c>
      <c r="P150" s="6">
        <f t="shared" si="87"/>
        <v>5889.7380369766124</v>
      </c>
      <c r="Q150" s="6">
        <f t="shared" si="87"/>
        <v>5889.7380369766124</v>
      </c>
      <c r="R150" s="6">
        <f t="shared" si="87"/>
        <v>5889.7380369766124</v>
      </c>
      <c r="S150" s="6">
        <f t="shared" si="87"/>
        <v>74641.55859691331</v>
      </c>
    </row>
    <row r="151" spans="1:19" ht="15" x14ac:dyDescent="0.35">
      <c r="A151" s="5"/>
      <c r="B151" s="5"/>
      <c r="C151" s="5"/>
      <c r="D151" s="5"/>
      <c r="E151" s="9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</row>
    <row r="152" spans="1:19" ht="15" x14ac:dyDescent="0.35">
      <c r="A152" s="5"/>
      <c r="B152" s="5" t="s">
        <v>81</v>
      </c>
      <c r="C152" s="5"/>
      <c r="D152" s="5"/>
      <c r="E152" s="9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</row>
    <row r="153" spans="1:19" x14ac:dyDescent="0.2">
      <c r="A153" s="5"/>
      <c r="B153" s="5"/>
      <c r="C153" t="s">
        <v>11</v>
      </c>
      <c r="D153" s="5"/>
      <c r="E153" s="9"/>
      <c r="F153" s="14">
        <v>1273.4496000000001</v>
      </c>
      <c r="G153" s="14">
        <f>+F153/12</f>
        <v>106.12080000000002</v>
      </c>
      <c r="H153" s="14">
        <f t="shared" ref="H153:R153" si="88">+G153</f>
        <v>106.12080000000002</v>
      </c>
      <c r="I153" s="14">
        <f t="shared" si="88"/>
        <v>106.12080000000002</v>
      </c>
      <c r="J153" s="14">
        <f t="shared" si="88"/>
        <v>106.12080000000002</v>
      </c>
      <c r="K153" s="14">
        <f t="shared" si="88"/>
        <v>106.12080000000002</v>
      </c>
      <c r="L153" s="14">
        <f t="shared" si="88"/>
        <v>106.12080000000002</v>
      </c>
      <c r="M153" s="14">
        <f t="shared" si="88"/>
        <v>106.12080000000002</v>
      </c>
      <c r="N153" s="14">
        <f t="shared" si="88"/>
        <v>106.12080000000002</v>
      </c>
      <c r="O153" s="14">
        <f t="shared" si="88"/>
        <v>106.12080000000002</v>
      </c>
      <c r="P153" s="14">
        <f t="shared" si="88"/>
        <v>106.12080000000002</v>
      </c>
      <c r="Q153" s="14">
        <f t="shared" si="88"/>
        <v>106.12080000000002</v>
      </c>
      <c r="R153" s="14">
        <f t="shared" si="88"/>
        <v>106.12080000000002</v>
      </c>
      <c r="S153" s="14">
        <f>SUM(G153:R153)</f>
        <v>1273.4495999999999</v>
      </c>
    </row>
    <row r="154" spans="1:19" ht="15" x14ac:dyDescent="0.35">
      <c r="A154" s="5"/>
      <c r="B154" s="5"/>
      <c r="C154" t="s">
        <v>13</v>
      </c>
      <c r="D154" s="5"/>
      <c r="F154" s="10">
        <v>1061.2080000000001</v>
      </c>
      <c r="G154" s="10">
        <f>+F154/4</f>
        <v>265.30200000000002</v>
      </c>
      <c r="H154" s="10">
        <f>+(F154-G154)/11</f>
        <v>72.355090909090919</v>
      </c>
      <c r="I154" s="10">
        <f t="shared" ref="I154:R154" si="89">+H154</f>
        <v>72.355090909090919</v>
      </c>
      <c r="J154" s="10">
        <f t="shared" si="89"/>
        <v>72.355090909090919</v>
      </c>
      <c r="K154" s="10">
        <f t="shared" si="89"/>
        <v>72.355090909090919</v>
      </c>
      <c r="L154" s="10">
        <f t="shared" si="89"/>
        <v>72.355090909090919</v>
      </c>
      <c r="M154" s="10">
        <f t="shared" si="89"/>
        <v>72.355090909090919</v>
      </c>
      <c r="N154" s="10">
        <f t="shared" si="89"/>
        <v>72.355090909090919</v>
      </c>
      <c r="O154" s="10">
        <f t="shared" si="89"/>
        <v>72.355090909090919</v>
      </c>
      <c r="P154" s="10">
        <f t="shared" si="89"/>
        <v>72.355090909090919</v>
      </c>
      <c r="Q154" s="10">
        <f t="shared" si="89"/>
        <v>72.355090909090919</v>
      </c>
      <c r="R154" s="10">
        <f t="shared" si="89"/>
        <v>72.355090909090919</v>
      </c>
      <c r="S154" s="10">
        <f>SUM(G154:R154)</f>
        <v>1061.2080000000001</v>
      </c>
    </row>
    <row r="155" spans="1:19" ht="15" x14ac:dyDescent="0.35">
      <c r="A155" s="5"/>
      <c r="B155" s="5" t="s">
        <v>82</v>
      </c>
      <c r="C155" s="5"/>
      <c r="D155" s="5"/>
      <c r="E155" s="9"/>
      <c r="F155" s="6">
        <v>2334.6576000000005</v>
      </c>
      <c r="G155" s="6">
        <f t="shared" ref="G155:S155" si="90">SUM(G153:G154)</f>
        <v>371.42280000000005</v>
      </c>
      <c r="H155" s="6">
        <f t="shared" si="90"/>
        <v>178.47589090909094</v>
      </c>
      <c r="I155" s="6">
        <f t="shared" si="90"/>
        <v>178.47589090909094</v>
      </c>
      <c r="J155" s="6">
        <f t="shared" si="90"/>
        <v>178.47589090909094</v>
      </c>
      <c r="K155" s="6">
        <f t="shared" si="90"/>
        <v>178.47589090909094</v>
      </c>
      <c r="L155" s="6">
        <f t="shared" si="90"/>
        <v>178.47589090909094</v>
      </c>
      <c r="M155" s="6">
        <f t="shared" si="90"/>
        <v>178.47589090909094</v>
      </c>
      <c r="N155" s="6">
        <f t="shared" si="90"/>
        <v>178.47589090909094</v>
      </c>
      <c r="O155" s="6">
        <f t="shared" si="90"/>
        <v>178.47589090909094</v>
      </c>
      <c r="P155" s="6">
        <f t="shared" si="90"/>
        <v>178.47589090909094</v>
      </c>
      <c r="Q155" s="6">
        <f t="shared" si="90"/>
        <v>178.47589090909094</v>
      </c>
      <c r="R155" s="6">
        <f t="shared" si="90"/>
        <v>178.47589090909094</v>
      </c>
      <c r="S155" s="6">
        <f t="shared" si="90"/>
        <v>2334.6576</v>
      </c>
    </row>
    <row r="156" spans="1:19" x14ac:dyDescent="0.2">
      <c r="A156" s="5"/>
      <c r="B156" s="5"/>
      <c r="C156" s="5"/>
      <c r="D156" s="5"/>
      <c r="E156" s="9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</row>
    <row r="157" spans="1:19" ht="15" x14ac:dyDescent="0.35">
      <c r="A157" s="5" t="s">
        <v>40</v>
      </c>
      <c r="B157" s="5"/>
      <c r="C157" s="5"/>
      <c r="D157" s="5"/>
      <c r="E157" s="9"/>
      <c r="F157" s="6">
        <v>1946894.0308570105</v>
      </c>
      <c r="G157" s="6">
        <f t="shared" ref="G157:S157" si="91">SUM(G41,G54,G69,G72,G75,G86,G107,G113,G118,G130,G133,G150,G155)</f>
        <v>164846.75350236578</v>
      </c>
      <c r="H157" s="6">
        <f t="shared" si="91"/>
        <v>163914.20020627137</v>
      </c>
      <c r="I157" s="6">
        <f t="shared" si="91"/>
        <v>163914.20020627137</v>
      </c>
      <c r="J157" s="6">
        <f t="shared" si="91"/>
        <v>163914.20020627137</v>
      </c>
      <c r="K157" s="6">
        <f t="shared" si="91"/>
        <v>163914.20020627137</v>
      </c>
      <c r="L157" s="6">
        <f t="shared" si="91"/>
        <v>164247.53353960469</v>
      </c>
      <c r="M157" s="6">
        <f t="shared" si="91"/>
        <v>163914.20020627137</v>
      </c>
      <c r="N157" s="6">
        <f t="shared" si="91"/>
        <v>163914.20020627137</v>
      </c>
      <c r="O157" s="6">
        <f t="shared" si="91"/>
        <v>163914.20020627137</v>
      </c>
      <c r="P157" s="6">
        <f t="shared" si="91"/>
        <v>163914.20020627137</v>
      </c>
      <c r="Q157" s="6">
        <f t="shared" si="91"/>
        <v>163914.20020627137</v>
      </c>
      <c r="R157" s="6">
        <f t="shared" si="91"/>
        <v>142571.94195859728</v>
      </c>
      <c r="S157" s="6">
        <f t="shared" si="91"/>
        <v>1946894.0308570105</v>
      </c>
    </row>
    <row r="159" spans="1:19" s="5" customFormat="1" ht="15" x14ac:dyDescent="0.35">
      <c r="A159" s="5" t="s">
        <v>172</v>
      </c>
      <c r="E159" s="9"/>
      <c r="F159" s="6">
        <v>51087.394100436475</v>
      </c>
      <c r="G159" s="7" t="e">
        <f t="shared" ref="G159:S159" si="92">G10+G18-G157</f>
        <v>#REF!</v>
      </c>
      <c r="H159" s="7" t="e">
        <f t="shared" si="92"/>
        <v>#REF!</v>
      </c>
      <c r="I159" s="7" t="e">
        <f t="shared" si="92"/>
        <v>#REF!</v>
      </c>
      <c r="J159" s="7" t="e">
        <f t="shared" si="92"/>
        <v>#REF!</v>
      </c>
      <c r="K159" s="7" t="e">
        <f t="shared" si="92"/>
        <v>#REF!</v>
      </c>
      <c r="L159" s="7" t="e">
        <f t="shared" si="92"/>
        <v>#REF!</v>
      </c>
      <c r="M159" s="7" t="e">
        <f t="shared" si="92"/>
        <v>#REF!</v>
      </c>
      <c r="N159" s="7" t="e">
        <f t="shared" si="92"/>
        <v>#REF!</v>
      </c>
      <c r="O159" s="7" t="e">
        <f t="shared" si="92"/>
        <v>#REF!</v>
      </c>
      <c r="P159" s="7" t="e">
        <f t="shared" si="92"/>
        <v>#REF!</v>
      </c>
      <c r="Q159" s="7" t="e">
        <f t="shared" si="92"/>
        <v>#REF!</v>
      </c>
      <c r="R159" s="7" t="e">
        <f t="shared" si="92"/>
        <v>#REF!</v>
      </c>
      <c r="S159" s="7" t="e">
        <f t="shared" si="92"/>
        <v>#REF!</v>
      </c>
    </row>
  </sheetData>
  <phoneticPr fontId="0" type="noConversion"/>
  <printOptions horizontalCentered="1"/>
  <pageMargins left="0.25" right="0.25" top="0.5" bottom="0.5" header="0" footer="0"/>
  <pageSetup scale="65" orientation="landscape" horizontalDpi="300" verticalDpi="300"/>
  <headerFooter alignWithMargins="0"/>
  <rowBreaks count="2" manualBreakCount="2">
    <brk id="54" max="16383" man="1"/>
    <brk id="10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9"/>
  <sheetViews>
    <sheetView topLeftCell="O147" workbookViewId="0"/>
  </sheetViews>
  <sheetFormatPr defaultColWidth="8.7109375" defaultRowHeight="12.75" x14ac:dyDescent="0.2"/>
  <cols>
    <col min="1" max="3" width="2.7109375" customWidth="1"/>
    <col min="4" max="4" width="32.28515625" customWidth="1"/>
    <col min="5" max="5" width="32.7109375" style="3" hidden="1" customWidth="1"/>
    <col min="6" max="6" width="14" style="14" hidden="1" customWidth="1"/>
    <col min="7" max="7" width="12" style="14" bestFit="1" customWidth="1"/>
    <col min="8" max="11" width="12.28515625" style="14" bestFit="1" customWidth="1"/>
    <col min="12" max="13" width="12.7109375" style="14" bestFit="1" customWidth="1"/>
    <col min="14" max="15" width="12.28515625" style="14" bestFit="1" customWidth="1"/>
    <col min="16" max="16" width="13.28515625" style="14" bestFit="1" customWidth="1"/>
    <col min="17" max="17" width="12.42578125" style="14" bestFit="1" customWidth="1"/>
    <col min="18" max="18" width="12.7109375" style="14" bestFit="1" customWidth="1"/>
    <col min="19" max="19" width="14.7109375" style="14" bestFit="1" customWidth="1"/>
  </cols>
  <sheetData>
    <row r="1" spans="1:19" x14ac:dyDescent="0.2">
      <c r="A1" s="19" t="s">
        <v>146</v>
      </c>
      <c r="B1" s="19"/>
      <c r="C1" s="19"/>
      <c r="D1" s="19"/>
      <c r="E1" s="19"/>
      <c r="F1" s="19"/>
      <c r="G1"/>
      <c r="H1"/>
      <c r="I1"/>
      <c r="J1"/>
      <c r="K1"/>
      <c r="L1"/>
      <c r="M1"/>
      <c r="N1"/>
      <c r="O1"/>
      <c r="P1"/>
      <c r="Q1"/>
      <c r="R1"/>
      <c r="S1"/>
    </row>
    <row r="2" spans="1:19" x14ac:dyDescent="0.2">
      <c r="A2" s="19" t="s">
        <v>186</v>
      </c>
      <c r="B2" s="19"/>
      <c r="C2" s="19"/>
      <c r="D2" s="19"/>
      <c r="E2" s="19"/>
      <c r="F2" s="19"/>
      <c r="G2"/>
      <c r="H2"/>
      <c r="I2"/>
      <c r="J2"/>
      <c r="K2"/>
      <c r="L2"/>
      <c r="M2"/>
      <c r="N2"/>
      <c r="O2"/>
      <c r="P2"/>
      <c r="Q2"/>
      <c r="R2"/>
      <c r="S2"/>
    </row>
    <row r="3" spans="1:19" x14ac:dyDescent="0.2">
      <c r="A3" s="19" t="s">
        <v>188</v>
      </c>
      <c r="B3" s="19"/>
      <c r="C3" s="19"/>
      <c r="D3" s="19"/>
      <c r="E3" s="19"/>
      <c r="F3" s="19"/>
      <c r="G3"/>
      <c r="H3"/>
      <c r="I3"/>
      <c r="J3"/>
      <c r="K3"/>
      <c r="L3"/>
      <c r="M3"/>
      <c r="N3"/>
      <c r="O3"/>
      <c r="P3"/>
      <c r="Q3"/>
      <c r="R3"/>
      <c r="S3"/>
    </row>
    <row r="4" spans="1:19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x14ac:dyDescent="0.2">
      <c r="A5" s="9"/>
      <c r="B5" s="9"/>
      <c r="C5" s="9"/>
      <c r="D5" s="9"/>
      <c r="E5" s="12" t="s">
        <v>125</v>
      </c>
      <c r="F5" s="12" t="s">
        <v>59</v>
      </c>
      <c r="G5" s="12" t="s">
        <v>173</v>
      </c>
      <c r="H5" s="12" t="s">
        <v>174</v>
      </c>
      <c r="I5" s="12" t="s">
        <v>175</v>
      </c>
      <c r="J5" s="12" t="s">
        <v>176</v>
      </c>
      <c r="K5" s="12" t="s">
        <v>177</v>
      </c>
      <c r="L5" s="12" t="s">
        <v>178</v>
      </c>
      <c r="M5" s="12" t="s">
        <v>179</v>
      </c>
      <c r="N5" s="12" t="s">
        <v>180</v>
      </c>
      <c r="O5" s="12" t="s">
        <v>181</v>
      </c>
      <c r="P5" s="12" t="s">
        <v>182</v>
      </c>
      <c r="Q5" s="12" t="s">
        <v>183</v>
      </c>
      <c r="R5" s="12" t="s">
        <v>184</v>
      </c>
      <c r="S5" s="12" t="s">
        <v>90</v>
      </c>
    </row>
    <row r="6" spans="1:19" hidden="1" x14ac:dyDescent="0.2">
      <c r="A6" s="9"/>
      <c r="B6" s="9"/>
      <c r="C6" s="9"/>
      <c r="D6" s="9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idden="1" x14ac:dyDescent="0.2">
      <c r="A7" s="5" t="s">
        <v>60</v>
      </c>
      <c r="F7" s="14" t="e">
        <f>+#REF!</f>
        <v>#REF!</v>
      </c>
    </row>
    <row r="8" spans="1:19" hidden="1" x14ac:dyDescent="0.2">
      <c r="A8" s="5"/>
    </row>
    <row r="9" spans="1:19" x14ac:dyDescent="0.2">
      <c r="A9" s="5"/>
    </row>
    <row r="10" spans="1:19" ht="15" x14ac:dyDescent="0.35">
      <c r="A10" s="5" t="s">
        <v>171</v>
      </c>
      <c r="F10" s="6" t="e">
        <f>+'Yr4 Cash Flow'!S159</f>
        <v>#REF!</v>
      </c>
      <c r="G10" s="6" t="e">
        <f>+F10</f>
        <v>#REF!</v>
      </c>
      <c r="H10" s="6" t="e">
        <f t="shared" ref="H10:R10" si="0">+G159</f>
        <v>#REF!</v>
      </c>
      <c r="I10" s="6" t="e">
        <f t="shared" si="0"/>
        <v>#REF!</v>
      </c>
      <c r="J10" s="6" t="e">
        <f t="shared" si="0"/>
        <v>#REF!</v>
      </c>
      <c r="K10" s="6" t="e">
        <f t="shared" si="0"/>
        <v>#REF!</v>
      </c>
      <c r="L10" s="6" t="e">
        <f t="shared" si="0"/>
        <v>#REF!</v>
      </c>
      <c r="M10" s="6" t="e">
        <f t="shared" si="0"/>
        <v>#REF!</v>
      </c>
      <c r="N10" s="6" t="e">
        <f t="shared" si="0"/>
        <v>#REF!</v>
      </c>
      <c r="O10" s="6" t="e">
        <f t="shared" si="0"/>
        <v>#REF!</v>
      </c>
      <c r="P10" s="6" t="e">
        <f t="shared" si="0"/>
        <v>#REF!</v>
      </c>
      <c r="Q10" s="6" t="e">
        <f t="shared" si="0"/>
        <v>#REF!</v>
      </c>
      <c r="R10" s="6" t="e">
        <f t="shared" si="0"/>
        <v>#REF!</v>
      </c>
      <c r="S10" s="6" t="e">
        <f>+G10</f>
        <v>#REF!</v>
      </c>
    </row>
    <row r="11" spans="1:19" x14ac:dyDescent="0.2"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x14ac:dyDescent="0.2">
      <c r="A12" s="5" t="s">
        <v>1</v>
      </c>
    </row>
    <row r="13" spans="1:19" x14ac:dyDescent="0.2">
      <c r="B13" t="s">
        <v>2</v>
      </c>
      <c r="E13" s="3" t="s">
        <v>51</v>
      </c>
      <c r="F13" s="14">
        <v>1874700.5308965961</v>
      </c>
      <c r="G13" s="14">
        <f>+F13/12</f>
        <v>156225.044241383</v>
      </c>
      <c r="H13" s="14">
        <f t="shared" ref="H13:R13" si="1">+G13</f>
        <v>156225.044241383</v>
      </c>
      <c r="I13" s="14">
        <f t="shared" si="1"/>
        <v>156225.044241383</v>
      </c>
      <c r="J13" s="14">
        <f t="shared" si="1"/>
        <v>156225.044241383</v>
      </c>
      <c r="K13" s="14">
        <f t="shared" si="1"/>
        <v>156225.044241383</v>
      </c>
      <c r="L13" s="14">
        <f t="shared" si="1"/>
        <v>156225.044241383</v>
      </c>
      <c r="M13" s="14">
        <f t="shared" si="1"/>
        <v>156225.044241383</v>
      </c>
      <c r="N13" s="14">
        <f t="shared" si="1"/>
        <v>156225.044241383</v>
      </c>
      <c r="O13" s="14">
        <f t="shared" si="1"/>
        <v>156225.044241383</v>
      </c>
      <c r="P13" s="14">
        <f t="shared" si="1"/>
        <v>156225.044241383</v>
      </c>
      <c r="Q13" s="14">
        <f t="shared" si="1"/>
        <v>156225.044241383</v>
      </c>
      <c r="R13" s="14">
        <f t="shared" si="1"/>
        <v>156225.044241383</v>
      </c>
      <c r="S13" s="14">
        <f>SUM(G13:R13)</f>
        <v>1874700.5308965959</v>
      </c>
    </row>
    <row r="14" spans="1:19" hidden="1" x14ac:dyDescent="0.2">
      <c r="B14" t="s">
        <v>65</v>
      </c>
      <c r="F14" s="14">
        <v>0</v>
      </c>
      <c r="G14" s="14">
        <f>+F14/4</f>
        <v>0</v>
      </c>
      <c r="H14" s="14">
        <f>(F14-G14)/11</f>
        <v>0</v>
      </c>
      <c r="I14" s="14">
        <f t="shared" ref="I14:R14" si="2">+H14</f>
        <v>0</v>
      </c>
      <c r="J14" s="14">
        <f t="shared" si="2"/>
        <v>0</v>
      </c>
      <c r="K14" s="14">
        <f t="shared" si="2"/>
        <v>0</v>
      </c>
      <c r="L14" s="14">
        <f t="shared" si="2"/>
        <v>0</v>
      </c>
      <c r="M14" s="14">
        <f t="shared" si="2"/>
        <v>0</v>
      </c>
      <c r="N14" s="14">
        <f t="shared" si="2"/>
        <v>0</v>
      </c>
      <c r="O14" s="14">
        <f t="shared" si="2"/>
        <v>0</v>
      </c>
      <c r="P14" s="14">
        <f t="shared" si="2"/>
        <v>0</v>
      </c>
      <c r="Q14" s="14">
        <f t="shared" si="2"/>
        <v>0</v>
      </c>
      <c r="R14" s="14">
        <f t="shared" si="2"/>
        <v>0</v>
      </c>
      <c r="S14" s="14">
        <f>SUM(G14:R14)</f>
        <v>0</v>
      </c>
    </row>
    <row r="15" spans="1:19" x14ac:dyDescent="0.2">
      <c r="B15" t="s">
        <v>88</v>
      </c>
      <c r="F15" s="14">
        <v>90000</v>
      </c>
      <c r="G15" s="14">
        <f>+F15/12</f>
        <v>7500</v>
      </c>
      <c r="H15" s="14">
        <f>+G15</f>
        <v>7500</v>
      </c>
      <c r="I15" s="14">
        <f t="shared" ref="I15:R15" si="3">+H15</f>
        <v>7500</v>
      </c>
      <c r="J15" s="14">
        <f t="shared" si="3"/>
        <v>7500</v>
      </c>
      <c r="K15" s="14">
        <f t="shared" si="3"/>
        <v>7500</v>
      </c>
      <c r="L15" s="14">
        <f t="shared" si="3"/>
        <v>7500</v>
      </c>
      <c r="M15" s="14">
        <f t="shared" si="3"/>
        <v>7500</v>
      </c>
      <c r="N15" s="14">
        <f t="shared" si="3"/>
        <v>7500</v>
      </c>
      <c r="O15" s="14">
        <f t="shared" si="3"/>
        <v>7500</v>
      </c>
      <c r="P15" s="14">
        <f t="shared" si="3"/>
        <v>7500</v>
      </c>
      <c r="Q15" s="14">
        <f t="shared" si="3"/>
        <v>7500</v>
      </c>
      <c r="R15" s="14">
        <f t="shared" si="3"/>
        <v>7500</v>
      </c>
      <c r="S15" s="14">
        <f>SUM(G15:R15)</f>
        <v>90000</v>
      </c>
    </row>
    <row r="16" spans="1:19" x14ac:dyDescent="0.2">
      <c r="B16" t="s">
        <v>142</v>
      </c>
      <c r="F16" s="14">
        <v>14612.83416</v>
      </c>
      <c r="G16" s="14">
        <v>0</v>
      </c>
      <c r="H16" s="14">
        <v>0</v>
      </c>
      <c r="I16" s="14">
        <f>+F16/10</f>
        <v>1461.283416</v>
      </c>
      <c r="J16" s="14">
        <f t="shared" ref="J16:R16" si="4">+I16</f>
        <v>1461.283416</v>
      </c>
      <c r="K16" s="14">
        <f t="shared" si="4"/>
        <v>1461.283416</v>
      </c>
      <c r="L16" s="14">
        <f t="shared" si="4"/>
        <v>1461.283416</v>
      </c>
      <c r="M16" s="14">
        <f t="shared" si="4"/>
        <v>1461.283416</v>
      </c>
      <c r="N16" s="14">
        <f t="shared" si="4"/>
        <v>1461.283416</v>
      </c>
      <c r="O16" s="14">
        <f t="shared" si="4"/>
        <v>1461.283416</v>
      </c>
      <c r="P16" s="14">
        <f t="shared" si="4"/>
        <v>1461.283416</v>
      </c>
      <c r="Q16" s="14">
        <f t="shared" si="4"/>
        <v>1461.283416</v>
      </c>
      <c r="R16" s="14">
        <f t="shared" si="4"/>
        <v>1461.283416</v>
      </c>
      <c r="S16" s="14">
        <f>SUM(G16:R16)</f>
        <v>14612.83416</v>
      </c>
    </row>
    <row r="17" spans="1:19" ht="15" x14ac:dyDescent="0.35">
      <c r="B17" t="s">
        <v>3</v>
      </c>
      <c r="E17" s="3" t="s">
        <v>63</v>
      </c>
      <c r="F17" s="4">
        <v>56827.688399999999</v>
      </c>
      <c r="G17" s="4">
        <v>0</v>
      </c>
      <c r="H17" s="4">
        <v>0</v>
      </c>
      <c r="I17" s="4">
        <f>+F17/10</f>
        <v>5682.7688399999997</v>
      </c>
      <c r="J17" s="4">
        <f t="shared" ref="J17:R17" si="5">+I17</f>
        <v>5682.7688399999997</v>
      </c>
      <c r="K17" s="4">
        <f t="shared" si="5"/>
        <v>5682.7688399999997</v>
      </c>
      <c r="L17" s="4">
        <f t="shared" si="5"/>
        <v>5682.7688399999997</v>
      </c>
      <c r="M17" s="4">
        <f t="shared" si="5"/>
        <v>5682.7688399999997</v>
      </c>
      <c r="N17" s="4">
        <f t="shared" si="5"/>
        <v>5682.7688399999997</v>
      </c>
      <c r="O17" s="4">
        <f t="shared" si="5"/>
        <v>5682.7688399999997</v>
      </c>
      <c r="P17" s="4">
        <f t="shared" si="5"/>
        <v>5682.7688399999997</v>
      </c>
      <c r="Q17" s="4">
        <f t="shared" si="5"/>
        <v>5682.7688399999997</v>
      </c>
      <c r="R17" s="4">
        <f t="shared" si="5"/>
        <v>5682.7688399999997</v>
      </c>
      <c r="S17" s="4">
        <f>SUM(G17:R17)</f>
        <v>56827.688399999985</v>
      </c>
    </row>
    <row r="18" spans="1:19" s="5" customFormat="1" ht="15" x14ac:dyDescent="0.35">
      <c r="A18" s="5" t="s">
        <v>49</v>
      </c>
      <c r="E18" s="9"/>
      <c r="F18" s="6">
        <v>2036141.0534565963</v>
      </c>
      <c r="G18" s="6">
        <f t="shared" ref="G18:S18" si="6">SUM(G13:G17)</f>
        <v>163725.044241383</v>
      </c>
      <c r="H18" s="6">
        <f t="shared" si="6"/>
        <v>163725.044241383</v>
      </c>
      <c r="I18" s="6">
        <f t="shared" si="6"/>
        <v>170869.096497383</v>
      </c>
      <c r="J18" s="6">
        <f t="shared" si="6"/>
        <v>170869.096497383</v>
      </c>
      <c r="K18" s="6">
        <f t="shared" si="6"/>
        <v>170869.096497383</v>
      </c>
      <c r="L18" s="6">
        <f t="shared" si="6"/>
        <v>170869.096497383</v>
      </c>
      <c r="M18" s="6">
        <f t="shared" si="6"/>
        <v>170869.096497383</v>
      </c>
      <c r="N18" s="6">
        <f t="shared" si="6"/>
        <v>170869.096497383</v>
      </c>
      <c r="O18" s="6">
        <f t="shared" si="6"/>
        <v>170869.096497383</v>
      </c>
      <c r="P18" s="6">
        <f t="shared" si="6"/>
        <v>170869.096497383</v>
      </c>
      <c r="Q18" s="6">
        <f t="shared" si="6"/>
        <v>170869.096497383</v>
      </c>
      <c r="R18" s="6">
        <f t="shared" si="6"/>
        <v>170869.096497383</v>
      </c>
      <c r="S18" s="6">
        <f t="shared" si="6"/>
        <v>2036141.0534565961</v>
      </c>
    </row>
    <row r="20" spans="1:19" x14ac:dyDescent="0.2">
      <c r="A20" s="5" t="s">
        <v>4</v>
      </c>
    </row>
    <row r="21" spans="1:19" x14ac:dyDescent="0.2">
      <c r="B21" s="5" t="s">
        <v>5</v>
      </c>
    </row>
    <row r="22" spans="1:19" x14ac:dyDescent="0.2">
      <c r="B22" s="5"/>
      <c r="C22" t="s">
        <v>6</v>
      </c>
      <c r="E22" s="3" t="e">
        <f>CONCATENATE(#REF!+Misc!B5," @ ",Tchr)</f>
        <v>#REF!</v>
      </c>
      <c r="F22" s="14">
        <v>701416.03967999993</v>
      </c>
      <c r="G22" s="14">
        <f>+F22/12</f>
        <v>58451.336639999994</v>
      </c>
      <c r="H22" s="14">
        <f t="shared" ref="H22:R22" si="7">+G22</f>
        <v>58451.336639999994</v>
      </c>
      <c r="I22" s="14">
        <f t="shared" si="7"/>
        <v>58451.336639999994</v>
      </c>
      <c r="J22" s="14">
        <f t="shared" si="7"/>
        <v>58451.336639999994</v>
      </c>
      <c r="K22" s="14">
        <f t="shared" si="7"/>
        <v>58451.336639999994</v>
      </c>
      <c r="L22" s="14">
        <f t="shared" si="7"/>
        <v>58451.336639999994</v>
      </c>
      <c r="M22" s="14">
        <f t="shared" si="7"/>
        <v>58451.336639999994</v>
      </c>
      <c r="N22" s="14">
        <f t="shared" si="7"/>
        <v>58451.336639999994</v>
      </c>
      <c r="O22" s="14">
        <f t="shared" si="7"/>
        <v>58451.336639999994</v>
      </c>
      <c r="P22" s="14">
        <f t="shared" si="7"/>
        <v>58451.336639999994</v>
      </c>
      <c r="Q22" s="14">
        <f t="shared" si="7"/>
        <v>58451.336639999994</v>
      </c>
      <c r="R22" s="14">
        <f t="shared" si="7"/>
        <v>58451.336639999994</v>
      </c>
      <c r="S22" s="14">
        <f>SUM(G22:R22)</f>
        <v>701416.03967999993</v>
      </c>
    </row>
    <row r="23" spans="1:19" x14ac:dyDescent="0.2">
      <c r="B23" s="5"/>
      <c r="C23" t="s">
        <v>156</v>
      </c>
      <c r="F23" s="14">
        <v>50917.608806400007</v>
      </c>
      <c r="G23" s="14">
        <v>0</v>
      </c>
      <c r="H23" s="14">
        <f>+F23/10</f>
        <v>5091.7608806400003</v>
      </c>
      <c r="I23" s="14">
        <f t="shared" ref="I23:Q23" si="8">+H23</f>
        <v>5091.7608806400003</v>
      </c>
      <c r="J23" s="14">
        <f t="shared" si="8"/>
        <v>5091.7608806400003</v>
      </c>
      <c r="K23" s="14">
        <f t="shared" si="8"/>
        <v>5091.7608806400003</v>
      </c>
      <c r="L23" s="14">
        <f t="shared" si="8"/>
        <v>5091.7608806400003</v>
      </c>
      <c r="M23" s="14">
        <f t="shared" si="8"/>
        <v>5091.7608806400003</v>
      </c>
      <c r="N23" s="14">
        <f t="shared" si="8"/>
        <v>5091.7608806400003</v>
      </c>
      <c r="O23" s="14">
        <f t="shared" si="8"/>
        <v>5091.7608806400003</v>
      </c>
      <c r="P23" s="14">
        <f t="shared" si="8"/>
        <v>5091.7608806400003</v>
      </c>
      <c r="Q23" s="14">
        <f t="shared" si="8"/>
        <v>5091.7608806400003</v>
      </c>
      <c r="R23" s="14">
        <v>0</v>
      </c>
      <c r="S23" s="14">
        <f>SUM(G23:R23)</f>
        <v>50917.608806400014</v>
      </c>
    </row>
    <row r="24" spans="1:19" ht="15" x14ac:dyDescent="0.35">
      <c r="C24" t="s">
        <v>96</v>
      </c>
      <c r="E24" s="3" t="str">
        <f>CONCATENATE(para1," @ ",Misc!B8)</f>
        <v>0 @ 17280</v>
      </c>
      <c r="F24" s="4">
        <v>56113.2831744</v>
      </c>
      <c r="G24" s="4">
        <v>0</v>
      </c>
      <c r="H24" s="4">
        <f>+F24/10</f>
        <v>5611.3283174400003</v>
      </c>
      <c r="I24" s="4">
        <f t="shared" ref="I24:Q24" si="9">+H24</f>
        <v>5611.3283174400003</v>
      </c>
      <c r="J24" s="4">
        <f t="shared" si="9"/>
        <v>5611.3283174400003</v>
      </c>
      <c r="K24" s="4">
        <f t="shared" si="9"/>
        <v>5611.3283174400003</v>
      </c>
      <c r="L24" s="4">
        <f t="shared" si="9"/>
        <v>5611.3283174400003</v>
      </c>
      <c r="M24" s="4">
        <f t="shared" si="9"/>
        <v>5611.3283174400003</v>
      </c>
      <c r="N24" s="4">
        <f t="shared" si="9"/>
        <v>5611.3283174400003</v>
      </c>
      <c r="O24" s="4">
        <f t="shared" si="9"/>
        <v>5611.3283174400003</v>
      </c>
      <c r="P24" s="4">
        <f t="shared" si="9"/>
        <v>5611.3283174400003</v>
      </c>
      <c r="Q24" s="4">
        <f t="shared" si="9"/>
        <v>5611.3283174400003</v>
      </c>
      <c r="R24" s="4">
        <v>0</v>
      </c>
      <c r="S24" s="4">
        <f>SUM(G24:R24)</f>
        <v>56113.283174399992</v>
      </c>
    </row>
    <row r="25" spans="1:19" ht="15" x14ac:dyDescent="0.35">
      <c r="D25" s="5" t="s">
        <v>41</v>
      </c>
      <c r="E25" s="9"/>
      <c r="F25" s="6">
        <v>808446.93166079989</v>
      </c>
      <c r="G25" s="6">
        <f t="shared" ref="G25:S25" si="10">SUM(G22:G24)</f>
        <v>58451.336639999994</v>
      </c>
      <c r="H25" s="6">
        <f t="shared" si="10"/>
        <v>69154.425838080002</v>
      </c>
      <c r="I25" s="6">
        <f t="shared" si="10"/>
        <v>69154.425838080002</v>
      </c>
      <c r="J25" s="6">
        <f t="shared" si="10"/>
        <v>69154.425838080002</v>
      </c>
      <c r="K25" s="6">
        <f t="shared" si="10"/>
        <v>69154.425838080002</v>
      </c>
      <c r="L25" s="6">
        <f t="shared" si="10"/>
        <v>69154.425838080002</v>
      </c>
      <c r="M25" s="6">
        <f t="shared" si="10"/>
        <v>69154.425838080002</v>
      </c>
      <c r="N25" s="6">
        <f t="shared" si="10"/>
        <v>69154.425838080002</v>
      </c>
      <c r="O25" s="6">
        <f t="shared" si="10"/>
        <v>69154.425838080002</v>
      </c>
      <c r="P25" s="6">
        <f t="shared" si="10"/>
        <v>69154.425838080002</v>
      </c>
      <c r="Q25" s="6">
        <f t="shared" si="10"/>
        <v>69154.425838080002</v>
      </c>
      <c r="R25" s="6">
        <f t="shared" si="10"/>
        <v>58451.336639999994</v>
      </c>
      <c r="S25" s="6">
        <f t="shared" si="10"/>
        <v>808446.93166079989</v>
      </c>
    </row>
    <row r="26" spans="1:19" x14ac:dyDescent="0.2">
      <c r="C26" t="s">
        <v>7</v>
      </c>
      <c r="E26" s="13">
        <v>1.4999999999999999E-2</v>
      </c>
      <c r="F26" s="14">
        <v>12126.703974911998</v>
      </c>
      <c r="G26" s="14">
        <f t="shared" ref="G26:R29" si="11">+$F26/$F$25*G$25</f>
        <v>876.77004959999988</v>
      </c>
      <c r="H26" s="14">
        <f t="shared" si="11"/>
        <v>1037.3163875712</v>
      </c>
      <c r="I26" s="14">
        <f t="shared" si="11"/>
        <v>1037.3163875712</v>
      </c>
      <c r="J26" s="14">
        <f t="shared" si="11"/>
        <v>1037.3163875712</v>
      </c>
      <c r="K26" s="14">
        <f t="shared" si="11"/>
        <v>1037.3163875712</v>
      </c>
      <c r="L26" s="14">
        <f t="shared" si="11"/>
        <v>1037.3163875712</v>
      </c>
      <c r="M26" s="14">
        <f t="shared" si="11"/>
        <v>1037.3163875712</v>
      </c>
      <c r="N26" s="14">
        <f t="shared" si="11"/>
        <v>1037.3163875712</v>
      </c>
      <c r="O26" s="14">
        <f t="shared" si="11"/>
        <v>1037.3163875712</v>
      </c>
      <c r="P26" s="14">
        <f t="shared" si="11"/>
        <v>1037.3163875712</v>
      </c>
      <c r="Q26" s="14">
        <f t="shared" si="11"/>
        <v>1037.3163875712</v>
      </c>
      <c r="R26" s="14">
        <f t="shared" si="11"/>
        <v>876.77004959999988</v>
      </c>
      <c r="S26" s="14">
        <f>SUM(G26:R26)</f>
        <v>12126.703974911999</v>
      </c>
    </row>
    <row r="27" spans="1:19" x14ac:dyDescent="0.2">
      <c r="C27" t="s">
        <v>8</v>
      </c>
      <c r="E27" s="3" t="s">
        <v>52</v>
      </c>
      <c r="F27" s="14">
        <v>66004.190272051201</v>
      </c>
      <c r="G27" s="14">
        <f t="shared" si="11"/>
        <v>4772.1538596438049</v>
      </c>
      <c r="H27" s="14">
        <f t="shared" si="11"/>
        <v>5645.9882552763602</v>
      </c>
      <c r="I27" s="14">
        <f t="shared" si="11"/>
        <v>5645.9882552763602</v>
      </c>
      <c r="J27" s="14">
        <f t="shared" si="11"/>
        <v>5645.9882552763602</v>
      </c>
      <c r="K27" s="14">
        <f t="shared" si="11"/>
        <v>5645.9882552763602</v>
      </c>
      <c r="L27" s="14">
        <f t="shared" si="11"/>
        <v>5645.9882552763602</v>
      </c>
      <c r="M27" s="14">
        <f t="shared" si="11"/>
        <v>5645.9882552763602</v>
      </c>
      <c r="N27" s="14">
        <f t="shared" si="11"/>
        <v>5645.9882552763602</v>
      </c>
      <c r="O27" s="14">
        <f t="shared" si="11"/>
        <v>5645.9882552763602</v>
      </c>
      <c r="P27" s="14">
        <f t="shared" si="11"/>
        <v>5645.9882552763602</v>
      </c>
      <c r="Q27" s="14">
        <f t="shared" si="11"/>
        <v>5645.9882552763602</v>
      </c>
      <c r="R27" s="14">
        <f t="shared" si="11"/>
        <v>4772.1538596438049</v>
      </c>
      <c r="S27" s="14">
        <f>SUM(G27:R27)</f>
        <v>66004.190272051215</v>
      </c>
    </row>
    <row r="28" spans="1:19" x14ac:dyDescent="0.2">
      <c r="C28" t="s">
        <v>9</v>
      </c>
      <c r="E28" s="3" t="str">
        <f>CONCATENATE("$",ins," per month per employee")</f>
        <v>$266.666666666666 per month per employee</v>
      </c>
      <c r="F28" s="14">
        <v>61698.633119999999</v>
      </c>
      <c r="G28" s="14">
        <f t="shared" si="11"/>
        <v>4460.858757069409</v>
      </c>
      <c r="H28" s="14">
        <f t="shared" si="11"/>
        <v>5277.6915605861195</v>
      </c>
      <c r="I28" s="14">
        <f t="shared" si="11"/>
        <v>5277.6915605861195</v>
      </c>
      <c r="J28" s="14">
        <f t="shared" si="11"/>
        <v>5277.6915605861195</v>
      </c>
      <c r="K28" s="14">
        <f t="shared" si="11"/>
        <v>5277.6915605861195</v>
      </c>
      <c r="L28" s="14">
        <f t="shared" si="11"/>
        <v>5277.6915605861195</v>
      </c>
      <c r="M28" s="14">
        <f t="shared" si="11"/>
        <v>5277.6915605861195</v>
      </c>
      <c r="N28" s="14">
        <f t="shared" si="11"/>
        <v>5277.6915605861195</v>
      </c>
      <c r="O28" s="14">
        <f t="shared" si="11"/>
        <v>5277.6915605861195</v>
      </c>
      <c r="P28" s="14">
        <f t="shared" si="11"/>
        <v>5277.6915605861195</v>
      </c>
      <c r="Q28" s="14">
        <f t="shared" si="11"/>
        <v>5277.6915605861195</v>
      </c>
      <c r="R28" s="14">
        <f t="shared" si="11"/>
        <v>4460.858757069409</v>
      </c>
      <c r="S28" s="14">
        <f>SUM(G28:R28)</f>
        <v>61698.63312000002</v>
      </c>
    </row>
    <row r="29" spans="1:19" ht="15" x14ac:dyDescent="0.35">
      <c r="C29" t="s">
        <v>10</v>
      </c>
      <c r="E29" s="11" t="s">
        <v>53</v>
      </c>
      <c r="F29" s="4">
        <v>8084.4693166079987</v>
      </c>
      <c r="G29" s="4">
        <f t="shared" si="11"/>
        <v>584.5133664</v>
      </c>
      <c r="H29" s="4">
        <f t="shared" si="11"/>
        <v>691.54425838079999</v>
      </c>
      <c r="I29" s="4">
        <f t="shared" si="11"/>
        <v>691.54425838079999</v>
      </c>
      <c r="J29" s="4">
        <f t="shared" si="11"/>
        <v>691.54425838079999</v>
      </c>
      <c r="K29" s="4">
        <f t="shared" si="11"/>
        <v>691.54425838079999</v>
      </c>
      <c r="L29" s="4">
        <f t="shared" si="11"/>
        <v>691.54425838079999</v>
      </c>
      <c r="M29" s="4">
        <f t="shared" si="11"/>
        <v>691.54425838079999</v>
      </c>
      <c r="N29" s="4">
        <f t="shared" si="11"/>
        <v>691.54425838079999</v>
      </c>
      <c r="O29" s="4">
        <f t="shared" si="11"/>
        <v>691.54425838079999</v>
      </c>
      <c r="P29" s="4">
        <f t="shared" si="11"/>
        <v>691.54425838079999</v>
      </c>
      <c r="Q29" s="4">
        <f t="shared" si="11"/>
        <v>691.54425838079999</v>
      </c>
      <c r="R29" s="4">
        <f t="shared" si="11"/>
        <v>584.5133664</v>
      </c>
      <c r="S29" s="4">
        <f>SUM(G29:R29)</f>
        <v>8084.4693166079996</v>
      </c>
    </row>
    <row r="30" spans="1:19" ht="15" x14ac:dyDescent="0.35">
      <c r="D30" s="5" t="s">
        <v>42</v>
      </c>
      <c r="E30" s="9"/>
      <c r="F30" s="6">
        <v>147913.99668357123</v>
      </c>
      <c r="G30" s="6">
        <f t="shared" ref="G30:S30" si="12">SUM(G26:G29)</f>
        <v>10694.296032713215</v>
      </c>
      <c r="H30" s="6">
        <f t="shared" si="12"/>
        <v>12652.540461814478</v>
      </c>
      <c r="I30" s="6">
        <f t="shared" si="12"/>
        <v>12652.540461814478</v>
      </c>
      <c r="J30" s="6">
        <f t="shared" si="12"/>
        <v>12652.540461814478</v>
      </c>
      <c r="K30" s="6">
        <f t="shared" si="12"/>
        <v>12652.540461814478</v>
      </c>
      <c r="L30" s="6">
        <f t="shared" si="12"/>
        <v>12652.540461814478</v>
      </c>
      <c r="M30" s="6">
        <f t="shared" si="12"/>
        <v>12652.540461814478</v>
      </c>
      <c r="N30" s="6">
        <f t="shared" si="12"/>
        <v>12652.540461814478</v>
      </c>
      <c r="O30" s="6">
        <f t="shared" si="12"/>
        <v>12652.540461814478</v>
      </c>
      <c r="P30" s="6">
        <f t="shared" si="12"/>
        <v>12652.540461814478</v>
      </c>
      <c r="Q30" s="6">
        <f t="shared" si="12"/>
        <v>12652.540461814478</v>
      </c>
      <c r="R30" s="6">
        <f t="shared" si="12"/>
        <v>10694.296032713215</v>
      </c>
      <c r="S30" s="6">
        <f t="shared" si="12"/>
        <v>147913.99668357125</v>
      </c>
    </row>
    <row r="31" spans="1:19" x14ac:dyDescent="0.2">
      <c r="C31" t="s">
        <v>11</v>
      </c>
      <c r="E31" s="3" t="s">
        <v>140</v>
      </c>
      <c r="F31" s="14">
        <v>16236.482400000003</v>
      </c>
      <c r="G31" s="14">
        <v>0</v>
      </c>
      <c r="H31" s="14">
        <f>+F31/10</f>
        <v>1623.6482400000002</v>
      </c>
      <c r="I31" s="14">
        <f t="shared" ref="I31:Q31" si="13">+H31</f>
        <v>1623.6482400000002</v>
      </c>
      <c r="J31" s="14">
        <f t="shared" si="13"/>
        <v>1623.6482400000002</v>
      </c>
      <c r="K31" s="14">
        <f t="shared" si="13"/>
        <v>1623.6482400000002</v>
      </c>
      <c r="L31" s="14">
        <f t="shared" si="13"/>
        <v>1623.6482400000002</v>
      </c>
      <c r="M31" s="14">
        <f t="shared" si="13"/>
        <v>1623.6482400000002</v>
      </c>
      <c r="N31" s="14">
        <f t="shared" si="13"/>
        <v>1623.6482400000002</v>
      </c>
      <c r="O31" s="14">
        <f t="shared" si="13"/>
        <v>1623.6482400000002</v>
      </c>
      <c r="P31" s="14">
        <f t="shared" si="13"/>
        <v>1623.6482400000002</v>
      </c>
      <c r="Q31" s="14">
        <f t="shared" si="13"/>
        <v>1623.6482400000002</v>
      </c>
      <c r="R31" s="14">
        <v>0</v>
      </c>
      <c r="S31" s="14">
        <f t="shared" ref="S31:S39" si="14">SUM(G31:R31)</f>
        <v>16236.482400000003</v>
      </c>
    </row>
    <row r="32" spans="1:19" x14ac:dyDescent="0.2">
      <c r="C32" t="s">
        <v>12</v>
      </c>
      <c r="E32" s="3" t="s">
        <v>54</v>
      </c>
      <c r="F32" s="14">
        <v>1000</v>
      </c>
      <c r="G32" s="14">
        <f>+F32/3</f>
        <v>333.33333333333331</v>
      </c>
      <c r="H32" s="14">
        <v>0</v>
      </c>
      <c r="I32" s="14">
        <v>0</v>
      </c>
      <c r="J32" s="14">
        <v>0</v>
      </c>
      <c r="K32" s="14">
        <v>0</v>
      </c>
      <c r="L32" s="14">
        <f>+G32</f>
        <v>333.33333333333331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f>+G32</f>
        <v>333.33333333333331</v>
      </c>
      <c r="S32" s="14">
        <f t="shared" si="14"/>
        <v>1000</v>
      </c>
    </row>
    <row r="33" spans="2:19" x14ac:dyDescent="0.2">
      <c r="C33" t="s">
        <v>13</v>
      </c>
      <c r="E33" s="3" t="s">
        <v>106</v>
      </c>
      <c r="F33" s="14">
        <v>24354.723600000001</v>
      </c>
      <c r="G33" s="14">
        <f t="shared" ref="G33:G38" si="15">+F33/4</f>
        <v>6088.6809000000003</v>
      </c>
      <c r="H33" s="14">
        <f t="shared" ref="H33:H38" si="16">+(F33-G33)/11</f>
        <v>1660.5493363636365</v>
      </c>
      <c r="I33" s="14">
        <f t="shared" ref="I33:R33" si="17">+H33</f>
        <v>1660.5493363636365</v>
      </c>
      <c r="J33" s="14">
        <f t="shared" si="17"/>
        <v>1660.5493363636365</v>
      </c>
      <c r="K33" s="14">
        <f t="shared" si="17"/>
        <v>1660.5493363636365</v>
      </c>
      <c r="L33" s="14">
        <f t="shared" si="17"/>
        <v>1660.5493363636365</v>
      </c>
      <c r="M33" s="14">
        <f t="shared" si="17"/>
        <v>1660.5493363636365</v>
      </c>
      <c r="N33" s="14">
        <f t="shared" si="17"/>
        <v>1660.5493363636365</v>
      </c>
      <c r="O33" s="14">
        <f t="shared" si="17"/>
        <v>1660.5493363636365</v>
      </c>
      <c r="P33" s="14">
        <f t="shared" si="17"/>
        <v>1660.5493363636365</v>
      </c>
      <c r="Q33" s="14">
        <f t="shared" si="17"/>
        <v>1660.5493363636365</v>
      </c>
      <c r="R33" s="14">
        <f t="shared" si="17"/>
        <v>1660.5493363636365</v>
      </c>
      <c r="S33" s="14">
        <f t="shared" si="14"/>
        <v>24354.723600000005</v>
      </c>
    </row>
    <row r="34" spans="2:19" hidden="1" x14ac:dyDescent="0.2">
      <c r="C34" t="s">
        <v>115</v>
      </c>
      <c r="E34" s="3" t="s">
        <v>137</v>
      </c>
      <c r="F34" s="14">
        <v>0</v>
      </c>
      <c r="G34" s="14">
        <f t="shared" si="15"/>
        <v>0</v>
      </c>
      <c r="H34" s="14">
        <f t="shared" si="16"/>
        <v>0</v>
      </c>
      <c r="I34" s="14">
        <f t="shared" ref="I34:R34" si="18">+H34</f>
        <v>0</v>
      </c>
      <c r="J34" s="14">
        <f t="shared" si="18"/>
        <v>0</v>
      </c>
      <c r="K34" s="14">
        <f t="shared" si="18"/>
        <v>0</v>
      </c>
      <c r="L34" s="14">
        <f t="shared" si="18"/>
        <v>0</v>
      </c>
      <c r="M34" s="14">
        <f t="shared" si="18"/>
        <v>0</v>
      </c>
      <c r="N34" s="14">
        <f t="shared" si="18"/>
        <v>0</v>
      </c>
      <c r="O34" s="14">
        <f t="shared" si="18"/>
        <v>0</v>
      </c>
      <c r="P34" s="14">
        <f t="shared" si="18"/>
        <v>0</v>
      </c>
      <c r="Q34" s="14">
        <f t="shared" si="18"/>
        <v>0</v>
      </c>
      <c r="R34" s="14">
        <f t="shared" si="18"/>
        <v>0</v>
      </c>
      <c r="S34" s="14">
        <f t="shared" si="14"/>
        <v>0</v>
      </c>
    </row>
    <row r="35" spans="2:19" x14ac:dyDescent="0.2">
      <c r="C35" t="s">
        <v>14</v>
      </c>
      <c r="E35" s="3" t="s">
        <v>68</v>
      </c>
      <c r="F35" s="14">
        <v>8118.2411999999995</v>
      </c>
      <c r="G35" s="14">
        <f t="shared" si="15"/>
        <v>2029.5602999999999</v>
      </c>
      <c r="H35" s="14">
        <f t="shared" si="16"/>
        <v>553.51644545454542</v>
      </c>
      <c r="I35" s="14">
        <f t="shared" ref="I35:R35" si="19">+H35</f>
        <v>553.51644545454542</v>
      </c>
      <c r="J35" s="14">
        <f t="shared" si="19"/>
        <v>553.51644545454542</v>
      </c>
      <c r="K35" s="14">
        <f t="shared" si="19"/>
        <v>553.51644545454542</v>
      </c>
      <c r="L35" s="14">
        <f t="shared" si="19"/>
        <v>553.51644545454542</v>
      </c>
      <c r="M35" s="14">
        <f t="shared" si="19"/>
        <v>553.51644545454542</v>
      </c>
      <c r="N35" s="14">
        <f t="shared" si="19"/>
        <v>553.51644545454542</v>
      </c>
      <c r="O35" s="14">
        <f t="shared" si="19"/>
        <v>553.51644545454542</v>
      </c>
      <c r="P35" s="14">
        <f t="shared" si="19"/>
        <v>553.51644545454542</v>
      </c>
      <c r="Q35" s="14">
        <f t="shared" si="19"/>
        <v>553.51644545454542</v>
      </c>
      <c r="R35" s="14">
        <f t="shared" si="19"/>
        <v>553.51644545454542</v>
      </c>
      <c r="S35" s="14">
        <f t="shared" si="14"/>
        <v>8118.2412000000013</v>
      </c>
    </row>
    <row r="36" spans="2:19" hidden="1" x14ac:dyDescent="0.2">
      <c r="C36" t="s">
        <v>69</v>
      </c>
      <c r="E36" s="3" t="s">
        <v>105</v>
      </c>
      <c r="F36" s="14">
        <v>0</v>
      </c>
      <c r="G36" s="14">
        <f t="shared" si="15"/>
        <v>0</v>
      </c>
      <c r="H36" s="14">
        <f t="shared" si="16"/>
        <v>0</v>
      </c>
      <c r="I36" s="14">
        <f t="shared" ref="I36:R36" si="20">+H36</f>
        <v>0</v>
      </c>
      <c r="J36" s="14">
        <f t="shared" si="20"/>
        <v>0</v>
      </c>
      <c r="K36" s="14">
        <f t="shared" si="20"/>
        <v>0</v>
      </c>
      <c r="L36" s="14">
        <f t="shared" si="20"/>
        <v>0</v>
      </c>
      <c r="M36" s="14">
        <f t="shared" si="20"/>
        <v>0</v>
      </c>
      <c r="N36" s="14">
        <f t="shared" si="20"/>
        <v>0</v>
      </c>
      <c r="O36" s="14">
        <f t="shared" si="20"/>
        <v>0</v>
      </c>
      <c r="P36" s="14">
        <f t="shared" si="20"/>
        <v>0</v>
      </c>
      <c r="Q36" s="14">
        <f t="shared" si="20"/>
        <v>0</v>
      </c>
      <c r="R36" s="14">
        <f t="shared" si="20"/>
        <v>0</v>
      </c>
      <c r="S36" s="14">
        <f t="shared" si="14"/>
        <v>0</v>
      </c>
    </row>
    <row r="37" spans="2:19" hidden="1" x14ac:dyDescent="0.2">
      <c r="C37" t="s">
        <v>15</v>
      </c>
      <c r="E37" s="3" t="s">
        <v>107</v>
      </c>
      <c r="F37" s="14">
        <v>0</v>
      </c>
      <c r="G37" s="14">
        <f t="shared" si="15"/>
        <v>0</v>
      </c>
      <c r="H37" s="14">
        <f t="shared" si="16"/>
        <v>0</v>
      </c>
      <c r="I37" s="14">
        <f t="shared" ref="I37:R37" si="21">+H37</f>
        <v>0</v>
      </c>
      <c r="J37" s="14">
        <f t="shared" si="21"/>
        <v>0</v>
      </c>
      <c r="K37" s="14">
        <f t="shared" si="21"/>
        <v>0</v>
      </c>
      <c r="L37" s="14">
        <f t="shared" si="21"/>
        <v>0</v>
      </c>
      <c r="M37" s="14">
        <f t="shared" si="21"/>
        <v>0</v>
      </c>
      <c r="N37" s="14">
        <f t="shared" si="21"/>
        <v>0</v>
      </c>
      <c r="O37" s="14">
        <f t="shared" si="21"/>
        <v>0</v>
      </c>
      <c r="P37" s="14">
        <f t="shared" si="21"/>
        <v>0</v>
      </c>
      <c r="Q37" s="14">
        <f t="shared" si="21"/>
        <v>0</v>
      </c>
      <c r="R37" s="14">
        <f t="shared" si="21"/>
        <v>0</v>
      </c>
      <c r="S37" s="14">
        <f t="shared" si="14"/>
        <v>0</v>
      </c>
    </row>
    <row r="38" spans="2:19" x14ac:dyDescent="0.2">
      <c r="C38" t="s">
        <v>16</v>
      </c>
      <c r="E38" s="3" t="s">
        <v>54</v>
      </c>
      <c r="F38" s="14">
        <v>3047.4860499868928</v>
      </c>
      <c r="G38" s="14">
        <f t="shared" si="15"/>
        <v>761.8715124967232</v>
      </c>
      <c r="H38" s="14">
        <f t="shared" si="16"/>
        <v>207.78313977183362</v>
      </c>
      <c r="I38" s="14">
        <f t="shared" ref="I38:R38" si="22">+H38</f>
        <v>207.78313977183362</v>
      </c>
      <c r="J38" s="14">
        <f t="shared" si="22"/>
        <v>207.78313977183362</v>
      </c>
      <c r="K38" s="14">
        <f t="shared" si="22"/>
        <v>207.78313977183362</v>
      </c>
      <c r="L38" s="14">
        <f t="shared" si="22"/>
        <v>207.78313977183362</v>
      </c>
      <c r="M38" s="14">
        <f t="shared" si="22"/>
        <v>207.78313977183362</v>
      </c>
      <c r="N38" s="14">
        <f t="shared" si="22"/>
        <v>207.78313977183362</v>
      </c>
      <c r="O38" s="14">
        <f t="shared" si="22"/>
        <v>207.78313977183362</v>
      </c>
      <c r="P38" s="14">
        <f t="shared" si="22"/>
        <v>207.78313977183362</v>
      </c>
      <c r="Q38" s="14">
        <f t="shared" si="22"/>
        <v>207.78313977183362</v>
      </c>
      <c r="R38" s="14">
        <f t="shared" si="22"/>
        <v>207.78313977183362</v>
      </c>
      <c r="S38" s="14">
        <f t="shared" si="14"/>
        <v>3047.4860499868937</v>
      </c>
    </row>
    <row r="39" spans="2:19" ht="15" x14ac:dyDescent="0.35">
      <c r="C39" t="s">
        <v>17</v>
      </c>
      <c r="E39" s="3" t="s">
        <v>116</v>
      </c>
      <c r="F39" s="4">
        <v>5195.674368</v>
      </c>
      <c r="G39" s="4">
        <v>0</v>
      </c>
      <c r="H39" s="4">
        <f>+F39/10</f>
        <v>519.5674368</v>
      </c>
      <c r="I39" s="4">
        <f t="shared" ref="I39:Q39" si="23">+H39</f>
        <v>519.5674368</v>
      </c>
      <c r="J39" s="4">
        <f t="shared" si="23"/>
        <v>519.5674368</v>
      </c>
      <c r="K39" s="4">
        <f t="shared" si="23"/>
        <v>519.5674368</v>
      </c>
      <c r="L39" s="4">
        <f t="shared" si="23"/>
        <v>519.5674368</v>
      </c>
      <c r="M39" s="4">
        <f t="shared" si="23"/>
        <v>519.5674368</v>
      </c>
      <c r="N39" s="4">
        <f t="shared" si="23"/>
        <v>519.5674368</v>
      </c>
      <c r="O39" s="4">
        <f t="shared" si="23"/>
        <v>519.5674368</v>
      </c>
      <c r="P39" s="4">
        <f t="shared" si="23"/>
        <v>519.5674368</v>
      </c>
      <c r="Q39" s="4">
        <f t="shared" si="23"/>
        <v>519.5674368</v>
      </c>
      <c r="R39" s="4">
        <v>0</v>
      </c>
      <c r="S39" s="4">
        <f t="shared" si="14"/>
        <v>5195.674368</v>
      </c>
    </row>
    <row r="40" spans="2:19" ht="15" x14ac:dyDescent="0.35">
      <c r="D40" s="5" t="s">
        <v>43</v>
      </c>
      <c r="E40" s="9"/>
      <c r="F40" s="6">
        <v>57952.607617986898</v>
      </c>
      <c r="G40" s="6">
        <f t="shared" ref="G40:S40" si="24">SUM(G31:G39)</f>
        <v>9213.4460458300564</v>
      </c>
      <c r="H40" s="6">
        <f t="shared" si="24"/>
        <v>4565.0645983900158</v>
      </c>
      <c r="I40" s="6">
        <f t="shared" si="24"/>
        <v>4565.0645983900158</v>
      </c>
      <c r="J40" s="6">
        <f t="shared" si="24"/>
        <v>4565.0645983900158</v>
      </c>
      <c r="K40" s="6">
        <f t="shared" si="24"/>
        <v>4565.0645983900158</v>
      </c>
      <c r="L40" s="6">
        <f t="shared" si="24"/>
        <v>4898.3979317233488</v>
      </c>
      <c r="M40" s="6">
        <f t="shared" si="24"/>
        <v>4565.0645983900158</v>
      </c>
      <c r="N40" s="6">
        <f t="shared" si="24"/>
        <v>4565.0645983900158</v>
      </c>
      <c r="O40" s="6">
        <f t="shared" si="24"/>
        <v>4565.0645983900158</v>
      </c>
      <c r="P40" s="6">
        <f t="shared" si="24"/>
        <v>4565.0645983900158</v>
      </c>
      <c r="Q40" s="6">
        <f t="shared" si="24"/>
        <v>4565.0645983900158</v>
      </c>
      <c r="R40" s="6">
        <f t="shared" si="24"/>
        <v>2755.1822549233489</v>
      </c>
      <c r="S40" s="6">
        <f t="shared" si="24"/>
        <v>57952.607617986905</v>
      </c>
    </row>
    <row r="41" spans="2:19" ht="15" x14ac:dyDescent="0.35">
      <c r="B41" s="5" t="s">
        <v>18</v>
      </c>
      <c r="C41" s="5"/>
      <c r="D41" s="5"/>
      <c r="E41" s="9"/>
      <c r="F41" s="6">
        <v>1014313.535962358</v>
      </c>
      <c r="G41" s="6">
        <f t="shared" ref="G41:S41" si="25">SUM(G40,G30,G25)</f>
        <v>78359.078718543256</v>
      </c>
      <c r="H41" s="6">
        <f t="shared" si="25"/>
        <v>86372.030898284487</v>
      </c>
      <c r="I41" s="6">
        <f t="shared" si="25"/>
        <v>86372.030898284487</v>
      </c>
      <c r="J41" s="6">
        <f t="shared" si="25"/>
        <v>86372.030898284487</v>
      </c>
      <c r="K41" s="6">
        <f t="shared" si="25"/>
        <v>86372.030898284487</v>
      </c>
      <c r="L41" s="6">
        <f t="shared" si="25"/>
        <v>86705.36423161783</v>
      </c>
      <c r="M41" s="6">
        <f t="shared" si="25"/>
        <v>86372.030898284487</v>
      </c>
      <c r="N41" s="6">
        <f t="shared" si="25"/>
        <v>86372.030898284487</v>
      </c>
      <c r="O41" s="6">
        <f t="shared" si="25"/>
        <v>86372.030898284487</v>
      </c>
      <c r="P41" s="6">
        <f t="shared" si="25"/>
        <v>86372.030898284487</v>
      </c>
      <c r="Q41" s="6">
        <f t="shared" si="25"/>
        <v>86372.030898284487</v>
      </c>
      <c r="R41" s="6">
        <f t="shared" si="25"/>
        <v>71900.814927636558</v>
      </c>
      <c r="S41" s="6">
        <f t="shared" si="25"/>
        <v>1014313.5359623581</v>
      </c>
    </row>
    <row r="43" spans="2:19" x14ac:dyDescent="0.2">
      <c r="B43" s="5" t="s">
        <v>66</v>
      </c>
    </row>
    <row r="44" spans="2:19" ht="15" x14ac:dyDescent="0.35">
      <c r="B44" s="5"/>
      <c r="C44" t="s">
        <v>109</v>
      </c>
      <c r="F44" s="4">
        <v>43838.502479999996</v>
      </c>
      <c r="G44" s="4">
        <f>+F44/12</f>
        <v>3653.2085399999996</v>
      </c>
      <c r="H44" s="4">
        <f t="shared" ref="H44:R44" si="26">+G44</f>
        <v>3653.2085399999996</v>
      </c>
      <c r="I44" s="4">
        <f t="shared" si="26"/>
        <v>3653.2085399999996</v>
      </c>
      <c r="J44" s="4">
        <f t="shared" si="26"/>
        <v>3653.2085399999996</v>
      </c>
      <c r="K44" s="4">
        <f t="shared" si="26"/>
        <v>3653.2085399999996</v>
      </c>
      <c r="L44" s="4">
        <f t="shared" si="26"/>
        <v>3653.2085399999996</v>
      </c>
      <c r="M44" s="4">
        <f t="shared" si="26"/>
        <v>3653.2085399999996</v>
      </c>
      <c r="N44" s="4">
        <f t="shared" si="26"/>
        <v>3653.2085399999996</v>
      </c>
      <c r="O44" s="4">
        <f t="shared" si="26"/>
        <v>3653.2085399999996</v>
      </c>
      <c r="P44" s="4">
        <f t="shared" si="26"/>
        <v>3653.2085399999996</v>
      </c>
      <c r="Q44" s="4">
        <f t="shared" si="26"/>
        <v>3653.2085399999996</v>
      </c>
      <c r="R44" s="4">
        <f t="shared" si="26"/>
        <v>3653.2085399999996</v>
      </c>
      <c r="S44" s="4">
        <f>SUM(G44:R44)</f>
        <v>43838.502479999996</v>
      </c>
    </row>
    <row r="45" spans="2:19" ht="15" hidden="1" x14ac:dyDescent="0.35">
      <c r="B45" s="5"/>
      <c r="C45" t="s">
        <v>114</v>
      </c>
      <c r="F45" s="4">
        <v>0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2:19" ht="15" x14ac:dyDescent="0.35">
      <c r="B46" s="5"/>
      <c r="D46" s="5" t="s">
        <v>110</v>
      </c>
      <c r="F46" s="6">
        <v>43838.502479999996</v>
      </c>
      <c r="G46" s="6">
        <f t="shared" ref="G46:S46" si="27">SUM(G44)</f>
        <v>3653.2085399999996</v>
      </c>
      <c r="H46" s="6">
        <f t="shared" si="27"/>
        <v>3653.2085399999996</v>
      </c>
      <c r="I46" s="6">
        <f t="shared" si="27"/>
        <v>3653.2085399999996</v>
      </c>
      <c r="J46" s="6">
        <f t="shared" si="27"/>
        <v>3653.2085399999996</v>
      </c>
      <c r="K46" s="6">
        <f t="shared" si="27"/>
        <v>3653.2085399999996</v>
      </c>
      <c r="L46" s="6">
        <f t="shared" si="27"/>
        <v>3653.2085399999996</v>
      </c>
      <c r="M46" s="6">
        <f t="shared" si="27"/>
        <v>3653.2085399999996</v>
      </c>
      <c r="N46" s="6">
        <f t="shared" si="27"/>
        <v>3653.2085399999996</v>
      </c>
      <c r="O46" s="6">
        <f t="shared" si="27"/>
        <v>3653.2085399999996</v>
      </c>
      <c r="P46" s="6">
        <f t="shared" si="27"/>
        <v>3653.2085399999996</v>
      </c>
      <c r="Q46" s="6">
        <f t="shared" si="27"/>
        <v>3653.2085399999996</v>
      </c>
      <c r="R46" s="6">
        <f t="shared" si="27"/>
        <v>3653.2085399999996</v>
      </c>
      <c r="S46" s="6">
        <f t="shared" si="27"/>
        <v>43838.502479999996</v>
      </c>
    </row>
    <row r="47" spans="2:19" x14ac:dyDescent="0.2">
      <c r="B47" s="5"/>
      <c r="C47" t="s">
        <v>7</v>
      </c>
      <c r="E47" s="13">
        <v>1.4999999999999999E-2</v>
      </c>
      <c r="F47" s="14">
        <v>657.57753719999994</v>
      </c>
      <c r="G47" s="14">
        <f t="shared" ref="G47:R50" si="28">+$F47/$F$46*G$46</f>
        <v>54.798128099999992</v>
      </c>
      <c r="H47" s="14">
        <f t="shared" si="28"/>
        <v>54.798128099999992</v>
      </c>
      <c r="I47" s="14">
        <f t="shared" si="28"/>
        <v>54.798128099999992</v>
      </c>
      <c r="J47" s="14">
        <f t="shared" si="28"/>
        <v>54.798128099999992</v>
      </c>
      <c r="K47" s="14">
        <f t="shared" si="28"/>
        <v>54.798128099999992</v>
      </c>
      <c r="L47" s="14">
        <f t="shared" si="28"/>
        <v>54.798128099999992</v>
      </c>
      <c r="M47" s="14">
        <f t="shared" si="28"/>
        <v>54.798128099999992</v>
      </c>
      <c r="N47" s="14">
        <f t="shared" si="28"/>
        <v>54.798128099999992</v>
      </c>
      <c r="O47" s="14">
        <f t="shared" si="28"/>
        <v>54.798128099999992</v>
      </c>
      <c r="P47" s="14">
        <f t="shared" si="28"/>
        <v>54.798128099999992</v>
      </c>
      <c r="Q47" s="14">
        <f t="shared" si="28"/>
        <v>54.798128099999992</v>
      </c>
      <c r="R47" s="14">
        <f t="shared" si="28"/>
        <v>54.798128099999992</v>
      </c>
      <c r="S47" s="14">
        <f>SUM(G47:R47)</f>
        <v>657.57753719999994</v>
      </c>
    </row>
    <row r="48" spans="2:19" x14ac:dyDescent="0.2">
      <c r="B48" s="5"/>
      <c r="C48" t="s">
        <v>8</v>
      </c>
      <c r="E48" s="3" t="s">
        <v>52</v>
      </c>
      <c r="F48" s="14">
        <v>3542.6454397199996</v>
      </c>
      <c r="G48" s="14">
        <f t="shared" si="28"/>
        <v>295.22045330999998</v>
      </c>
      <c r="H48" s="14">
        <f t="shared" si="28"/>
        <v>295.22045330999998</v>
      </c>
      <c r="I48" s="14">
        <f t="shared" si="28"/>
        <v>295.22045330999998</v>
      </c>
      <c r="J48" s="14">
        <f t="shared" si="28"/>
        <v>295.22045330999998</v>
      </c>
      <c r="K48" s="14">
        <f t="shared" si="28"/>
        <v>295.22045330999998</v>
      </c>
      <c r="L48" s="14">
        <f t="shared" si="28"/>
        <v>295.22045330999998</v>
      </c>
      <c r="M48" s="14">
        <f t="shared" si="28"/>
        <v>295.22045330999998</v>
      </c>
      <c r="N48" s="14">
        <f t="shared" si="28"/>
        <v>295.22045330999998</v>
      </c>
      <c r="O48" s="14">
        <f t="shared" si="28"/>
        <v>295.22045330999998</v>
      </c>
      <c r="P48" s="14">
        <f t="shared" si="28"/>
        <v>295.22045330999998</v>
      </c>
      <c r="Q48" s="14">
        <f t="shared" si="28"/>
        <v>295.22045330999998</v>
      </c>
      <c r="R48" s="14">
        <f t="shared" si="28"/>
        <v>295.22045330999998</v>
      </c>
      <c r="S48" s="14">
        <f>SUM(G48:R48)</f>
        <v>3542.6454397199991</v>
      </c>
    </row>
    <row r="49" spans="2:19" x14ac:dyDescent="0.2">
      <c r="B49" s="5"/>
      <c r="C49" t="s">
        <v>9</v>
      </c>
      <c r="E49" s="3" t="str">
        <f>CONCATENATE(ins," per month per employee")</f>
        <v>266.666666666666 per month per employee</v>
      </c>
      <c r="F49" s="14">
        <v>3247.29648</v>
      </c>
      <c r="G49" s="14">
        <f t="shared" si="28"/>
        <v>270.60804000000002</v>
      </c>
      <c r="H49" s="14">
        <f t="shared" si="28"/>
        <v>270.60804000000002</v>
      </c>
      <c r="I49" s="14">
        <f t="shared" si="28"/>
        <v>270.60804000000002</v>
      </c>
      <c r="J49" s="14">
        <f t="shared" si="28"/>
        <v>270.60804000000002</v>
      </c>
      <c r="K49" s="14">
        <f t="shared" si="28"/>
        <v>270.60804000000002</v>
      </c>
      <c r="L49" s="14">
        <f t="shared" si="28"/>
        <v>270.60804000000002</v>
      </c>
      <c r="M49" s="14">
        <f t="shared" si="28"/>
        <v>270.60804000000002</v>
      </c>
      <c r="N49" s="14">
        <f t="shared" si="28"/>
        <v>270.60804000000002</v>
      </c>
      <c r="O49" s="14">
        <f t="shared" si="28"/>
        <v>270.60804000000002</v>
      </c>
      <c r="P49" s="14">
        <f t="shared" si="28"/>
        <v>270.60804000000002</v>
      </c>
      <c r="Q49" s="14">
        <f t="shared" si="28"/>
        <v>270.60804000000002</v>
      </c>
      <c r="R49" s="14">
        <f t="shared" si="28"/>
        <v>270.60804000000002</v>
      </c>
      <c r="S49" s="14">
        <f>SUM(G49:R49)</f>
        <v>3247.2964800000004</v>
      </c>
    </row>
    <row r="50" spans="2:19" ht="15" x14ac:dyDescent="0.35">
      <c r="B50" s="5"/>
      <c r="C50" t="s">
        <v>10</v>
      </c>
      <c r="E50" s="11" t="s">
        <v>53</v>
      </c>
      <c r="F50" s="4">
        <v>438.38502479999994</v>
      </c>
      <c r="G50" s="4">
        <f t="shared" si="28"/>
        <v>36.5320854</v>
      </c>
      <c r="H50" s="4">
        <f t="shared" si="28"/>
        <v>36.5320854</v>
      </c>
      <c r="I50" s="4">
        <f t="shared" si="28"/>
        <v>36.5320854</v>
      </c>
      <c r="J50" s="4">
        <f t="shared" si="28"/>
        <v>36.5320854</v>
      </c>
      <c r="K50" s="4">
        <f t="shared" si="28"/>
        <v>36.5320854</v>
      </c>
      <c r="L50" s="4">
        <f t="shared" si="28"/>
        <v>36.5320854</v>
      </c>
      <c r="M50" s="4">
        <f t="shared" si="28"/>
        <v>36.5320854</v>
      </c>
      <c r="N50" s="4">
        <f t="shared" si="28"/>
        <v>36.5320854</v>
      </c>
      <c r="O50" s="4">
        <f t="shared" si="28"/>
        <v>36.5320854</v>
      </c>
      <c r="P50" s="4">
        <f t="shared" si="28"/>
        <v>36.5320854</v>
      </c>
      <c r="Q50" s="4">
        <f t="shared" si="28"/>
        <v>36.5320854</v>
      </c>
      <c r="R50" s="4">
        <f t="shared" si="28"/>
        <v>36.5320854</v>
      </c>
      <c r="S50" s="4">
        <f>SUM(G50:R50)</f>
        <v>438.38502480000011</v>
      </c>
    </row>
    <row r="51" spans="2:19" ht="15" x14ac:dyDescent="0.35">
      <c r="B51" s="5"/>
      <c r="D51" s="5" t="s">
        <v>111</v>
      </c>
      <c r="F51" s="6">
        <v>7885.9044817199992</v>
      </c>
      <c r="G51" s="6">
        <f t="shared" ref="G51:S51" si="29">SUM(G47:G50)</f>
        <v>657.15870681000001</v>
      </c>
      <c r="H51" s="6">
        <f t="shared" si="29"/>
        <v>657.15870681000001</v>
      </c>
      <c r="I51" s="6">
        <f t="shared" si="29"/>
        <v>657.15870681000001</v>
      </c>
      <c r="J51" s="6">
        <f t="shared" si="29"/>
        <v>657.15870681000001</v>
      </c>
      <c r="K51" s="6">
        <f t="shared" si="29"/>
        <v>657.15870681000001</v>
      </c>
      <c r="L51" s="6">
        <f t="shared" si="29"/>
        <v>657.15870681000001</v>
      </c>
      <c r="M51" s="6">
        <f t="shared" si="29"/>
        <v>657.15870681000001</v>
      </c>
      <c r="N51" s="6">
        <f t="shared" si="29"/>
        <v>657.15870681000001</v>
      </c>
      <c r="O51" s="6">
        <f t="shared" si="29"/>
        <v>657.15870681000001</v>
      </c>
      <c r="P51" s="6">
        <f t="shared" si="29"/>
        <v>657.15870681000001</v>
      </c>
      <c r="Q51" s="6">
        <f t="shared" si="29"/>
        <v>657.15870681000001</v>
      </c>
      <c r="R51" s="6">
        <f t="shared" si="29"/>
        <v>657.15870681000001</v>
      </c>
      <c r="S51" s="6">
        <f t="shared" si="29"/>
        <v>7885.9044817199992</v>
      </c>
    </row>
    <row r="52" spans="2:19" ht="15" x14ac:dyDescent="0.35">
      <c r="B52" s="5"/>
      <c r="C52" t="s">
        <v>13</v>
      </c>
      <c r="E52" s="3" t="s">
        <v>72</v>
      </c>
      <c r="F52" s="4">
        <v>5195.674368</v>
      </c>
      <c r="G52" s="4">
        <f>+F52/4</f>
        <v>1298.918592</v>
      </c>
      <c r="H52" s="4">
        <f>+(F52-G52)/11</f>
        <v>354.25052509090909</v>
      </c>
      <c r="I52" s="4">
        <f t="shared" ref="I52:R52" si="30">+H52</f>
        <v>354.25052509090909</v>
      </c>
      <c r="J52" s="4">
        <f t="shared" si="30"/>
        <v>354.25052509090909</v>
      </c>
      <c r="K52" s="4">
        <f t="shared" si="30"/>
        <v>354.25052509090909</v>
      </c>
      <c r="L52" s="4">
        <f t="shared" si="30"/>
        <v>354.25052509090909</v>
      </c>
      <c r="M52" s="4">
        <f t="shared" si="30"/>
        <v>354.25052509090909</v>
      </c>
      <c r="N52" s="4">
        <f t="shared" si="30"/>
        <v>354.25052509090909</v>
      </c>
      <c r="O52" s="4">
        <f t="shared" si="30"/>
        <v>354.25052509090909</v>
      </c>
      <c r="P52" s="4">
        <f t="shared" si="30"/>
        <v>354.25052509090909</v>
      </c>
      <c r="Q52" s="4">
        <f t="shared" si="30"/>
        <v>354.25052509090909</v>
      </c>
      <c r="R52" s="4">
        <f t="shared" si="30"/>
        <v>354.25052509090909</v>
      </c>
      <c r="S52" s="4">
        <f>SUM(G52:R52)</f>
        <v>5195.674367999999</v>
      </c>
    </row>
    <row r="53" spans="2:19" ht="15" x14ac:dyDescent="0.35">
      <c r="B53" s="5"/>
      <c r="D53" s="5" t="s">
        <v>112</v>
      </c>
      <c r="F53" s="6">
        <v>5195.674368</v>
      </c>
      <c r="G53" s="6">
        <f t="shared" ref="G53:S53" si="31">SUM(G52)</f>
        <v>1298.918592</v>
      </c>
      <c r="H53" s="6">
        <f t="shared" si="31"/>
        <v>354.25052509090909</v>
      </c>
      <c r="I53" s="6">
        <f t="shared" si="31"/>
        <v>354.25052509090909</v>
      </c>
      <c r="J53" s="6">
        <f t="shared" si="31"/>
        <v>354.25052509090909</v>
      </c>
      <c r="K53" s="6">
        <f t="shared" si="31"/>
        <v>354.25052509090909</v>
      </c>
      <c r="L53" s="6">
        <f t="shared" si="31"/>
        <v>354.25052509090909</v>
      </c>
      <c r="M53" s="6">
        <f t="shared" si="31"/>
        <v>354.25052509090909</v>
      </c>
      <c r="N53" s="6">
        <f t="shared" si="31"/>
        <v>354.25052509090909</v>
      </c>
      <c r="O53" s="6">
        <f t="shared" si="31"/>
        <v>354.25052509090909</v>
      </c>
      <c r="P53" s="6">
        <f t="shared" si="31"/>
        <v>354.25052509090909</v>
      </c>
      <c r="Q53" s="6">
        <f t="shared" si="31"/>
        <v>354.25052509090909</v>
      </c>
      <c r="R53" s="6">
        <f t="shared" si="31"/>
        <v>354.25052509090909</v>
      </c>
      <c r="S53" s="6">
        <f t="shared" si="31"/>
        <v>5195.674367999999</v>
      </c>
    </row>
    <row r="54" spans="2:19" ht="15" x14ac:dyDescent="0.35">
      <c r="B54" s="5" t="s">
        <v>84</v>
      </c>
      <c r="F54" s="6">
        <v>56920.081329719993</v>
      </c>
      <c r="G54" s="6">
        <f t="shared" ref="G54:S54" si="32">+G46+G51+G53</f>
        <v>5609.2858388099994</v>
      </c>
      <c r="H54" s="6">
        <f t="shared" si="32"/>
        <v>4664.6177719009083</v>
      </c>
      <c r="I54" s="6">
        <f t="shared" si="32"/>
        <v>4664.6177719009083</v>
      </c>
      <c r="J54" s="6">
        <f t="shared" si="32"/>
        <v>4664.6177719009083</v>
      </c>
      <c r="K54" s="6">
        <f t="shared" si="32"/>
        <v>4664.6177719009083</v>
      </c>
      <c r="L54" s="6">
        <f t="shared" si="32"/>
        <v>4664.6177719009083</v>
      </c>
      <c r="M54" s="6">
        <f t="shared" si="32"/>
        <v>4664.6177719009083</v>
      </c>
      <c r="N54" s="6">
        <f t="shared" si="32"/>
        <v>4664.6177719009083</v>
      </c>
      <c r="O54" s="6">
        <f t="shared" si="32"/>
        <v>4664.6177719009083</v>
      </c>
      <c r="P54" s="6">
        <f t="shared" si="32"/>
        <v>4664.6177719009083</v>
      </c>
      <c r="Q54" s="6">
        <f t="shared" si="32"/>
        <v>4664.6177719009083</v>
      </c>
      <c r="R54" s="6">
        <f t="shared" si="32"/>
        <v>4664.6177719009083</v>
      </c>
      <c r="S54" s="6">
        <f t="shared" si="32"/>
        <v>56920.081329719993</v>
      </c>
    </row>
    <row r="55" spans="2:19" ht="15" x14ac:dyDescent="0.35">
      <c r="B55" s="5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2:19" x14ac:dyDescent="0.2">
      <c r="B56" s="5" t="s">
        <v>117</v>
      </c>
    </row>
    <row r="57" spans="2:19" ht="15" x14ac:dyDescent="0.35">
      <c r="B57" s="5"/>
      <c r="C57" t="s">
        <v>118</v>
      </c>
      <c r="F57" s="4">
        <v>43838.502479999996</v>
      </c>
      <c r="G57" s="4">
        <f>+F57/12</f>
        <v>3653.2085399999996</v>
      </c>
      <c r="H57" s="4">
        <f t="shared" ref="H57:R57" si="33">+G57</f>
        <v>3653.2085399999996</v>
      </c>
      <c r="I57" s="4">
        <f t="shared" si="33"/>
        <v>3653.2085399999996</v>
      </c>
      <c r="J57" s="4">
        <f t="shared" si="33"/>
        <v>3653.2085399999996</v>
      </c>
      <c r="K57" s="4">
        <f t="shared" si="33"/>
        <v>3653.2085399999996</v>
      </c>
      <c r="L57" s="4">
        <f t="shared" si="33"/>
        <v>3653.2085399999996</v>
      </c>
      <c r="M57" s="4">
        <f t="shared" si="33"/>
        <v>3653.2085399999996</v>
      </c>
      <c r="N57" s="4">
        <f t="shared" si="33"/>
        <v>3653.2085399999996</v>
      </c>
      <c r="O57" s="4">
        <f t="shared" si="33"/>
        <v>3653.2085399999996</v>
      </c>
      <c r="P57" s="4">
        <f t="shared" si="33"/>
        <v>3653.2085399999996</v>
      </c>
      <c r="Q57" s="4">
        <f t="shared" si="33"/>
        <v>3653.2085399999996</v>
      </c>
      <c r="R57" s="4">
        <f t="shared" si="33"/>
        <v>3653.2085399999996</v>
      </c>
      <c r="S57" s="4">
        <f>SUM(G57:R57)</f>
        <v>43838.502479999996</v>
      </c>
    </row>
    <row r="58" spans="2:19" ht="15" hidden="1" x14ac:dyDescent="0.35">
      <c r="B58" s="5"/>
      <c r="C58" t="s">
        <v>114</v>
      </c>
      <c r="F58" s="4">
        <v>0</v>
      </c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2:19" ht="15" x14ac:dyDescent="0.35">
      <c r="B59" s="5"/>
      <c r="D59" s="5" t="s">
        <v>121</v>
      </c>
      <c r="F59" s="6">
        <v>43838.502479999996</v>
      </c>
      <c r="G59" s="6">
        <f t="shared" ref="G59:S59" si="34">SUM(G57)</f>
        <v>3653.2085399999996</v>
      </c>
      <c r="H59" s="6">
        <f t="shared" si="34"/>
        <v>3653.2085399999996</v>
      </c>
      <c r="I59" s="6">
        <f t="shared" si="34"/>
        <v>3653.2085399999996</v>
      </c>
      <c r="J59" s="6">
        <f t="shared" si="34"/>
        <v>3653.2085399999996</v>
      </c>
      <c r="K59" s="6">
        <f t="shared" si="34"/>
        <v>3653.2085399999996</v>
      </c>
      <c r="L59" s="6">
        <f t="shared" si="34"/>
        <v>3653.2085399999996</v>
      </c>
      <c r="M59" s="6">
        <f t="shared" si="34"/>
        <v>3653.2085399999996</v>
      </c>
      <c r="N59" s="6">
        <f t="shared" si="34"/>
        <v>3653.2085399999996</v>
      </c>
      <c r="O59" s="6">
        <f t="shared" si="34"/>
        <v>3653.2085399999996</v>
      </c>
      <c r="P59" s="6">
        <f t="shared" si="34"/>
        <v>3653.2085399999996</v>
      </c>
      <c r="Q59" s="6">
        <f t="shared" si="34"/>
        <v>3653.2085399999996</v>
      </c>
      <c r="R59" s="6">
        <f t="shared" si="34"/>
        <v>3653.2085399999996</v>
      </c>
      <c r="S59" s="6">
        <f t="shared" si="34"/>
        <v>43838.502479999996</v>
      </c>
    </row>
    <row r="60" spans="2:19" x14ac:dyDescent="0.2">
      <c r="B60" s="5"/>
      <c r="C60" t="s">
        <v>7</v>
      </c>
      <c r="E60" s="13">
        <v>1.4999999999999999E-2</v>
      </c>
      <c r="F60" s="14">
        <v>657.57753719999994</v>
      </c>
      <c r="G60" s="14">
        <f t="shared" ref="G60:R60" si="35">+$F60/$F$59*G$59</f>
        <v>54.798128099999992</v>
      </c>
      <c r="H60" s="14">
        <f t="shared" si="35"/>
        <v>54.798128099999992</v>
      </c>
      <c r="I60" s="14">
        <f t="shared" si="35"/>
        <v>54.798128099999992</v>
      </c>
      <c r="J60" s="14">
        <f t="shared" si="35"/>
        <v>54.798128099999992</v>
      </c>
      <c r="K60" s="14">
        <f t="shared" si="35"/>
        <v>54.798128099999992</v>
      </c>
      <c r="L60" s="14">
        <f t="shared" si="35"/>
        <v>54.798128099999992</v>
      </c>
      <c r="M60" s="14">
        <f t="shared" si="35"/>
        <v>54.798128099999992</v>
      </c>
      <c r="N60" s="14">
        <f t="shared" si="35"/>
        <v>54.798128099999992</v>
      </c>
      <c r="O60" s="14">
        <f t="shared" si="35"/>
        <v>54.798128099999992</v>
      </c>
      <c r="P60" s="14">
        <f t="shared" si="35"/>
        <v>54.798128099999992</v>
      </c>
      <c r="Q60" s="14">
        <f t="shared" si="35"/>
        <v>54.798128099999992</v>
      </c>
      <c r="R60" s="14">
        <f t="shared" si="35"/>
        <v>54.798128099999992</v>
      </c>
      <c r="S60" s="14">
        <f>SUM(G60:R60)</f>
        <v>657.57753719999994</v>
      </c>
    </row>
    <row r="61" spans="2:19" x14ac:dyDescent="0.2">
      <c r="B61" s="5"/>
      <c r="C61" t="s">
        <v>8</v>
      </c>
      <c r="E61" s="3" t="s">
        <v>52</v>
      </c>
      <c r="F61" s="14">
        <v>3542.6454397199996</v>
      </c>
      <c r="G61" s="14">
        <f t="shared" ref="G61:R63" si="36">+$F61/$F$46*G$46</f>
        <v>295.22045330999998</v>
      </c>
      <c r="H61" s="14">
        <f t="shared" si="36"/>
        <v>295.22045330999998</v>
      </c>
      <c r="I61" s="14">
        <f t="shared" si="36"/>
        <v>295.22045330999998</v>
      </c>
      <c r="J61" s="14">
        <f t="shared" si="36"/>
        <v>295.22045330999998</v>
      </c>
      <c r="K61" s="14">
        <f t="shared" si="36"/>
        <v>295.22045330999998</v>
      </c>
      <c r="L61" s="14">
        <f t="shared" si="36"/>
        <v>295.22045330999998</v>
      </c>
      <c r="M61" s="14">
        <f t="shared" si="36"/>
        <v>295.22045330999998</v>
      </c>
      <c r="N61" s="14">
        <f t="shared" si="36"/>
        <v>295.22045330999998</v>
      </c>
      <c r="O61" s="14">
        <f t="shared" si="36"/>
        <v>295.22045330999998</v>
      </c>
      <c r="P61" s="14">
        <f t="shared" si="36"/>
        <v>295.22045330999998</v>
      </c>
      <c r="Q61" s="14">
        <f t="shared" si="36"/>
        <v>295.22045330999998</v>
      </c>
      <c r="R61" s="14">
        <f t="shared" si="36"/>
        <v>295.22045330999998</v>
      </c>
      <c r="S61" s="14">
        <f>SUM(G61:R61)</f>
        <v>3542.6454397199991</v>
      </c>
    </row>
    <row r="62" spans="2:19" x14ac:dyDescent="0.2">
      <c r="B62" s="5"/>
      <c r="C62" t="s">
        <v>9</v>
      </c>
      <c r="E62" s="3" t="str">
        <f>CONCATENATE(ins," per month per employee")</f>
        <v>266.666666666666 per month per employee</v>
      </c>
      <c r="F62" s="14">
        <v>3247.29648</v>
      </c>
      <c r="G62" s="14">
        <f t="shared" si="36"/>
        <v>270.60804000000002</v>
      </c>
      <c r="H62" s="14">
        <f t="shared" si="36"/>
        <v>270.60804000000002</v>
      </c>
      <c r="I62" s="14">
        <f t="shared" si="36"/>
        <v>270.60804000000002</v>
      </c>
      <c r="J62" s="14">
        <f t="shared" si="36"/>
        <v>270.60804000000002</v>
      </c>
      <c r="K62" s="14">
        <f t="shared" si="36"/>
        <v>270.60804000000002</v>
      </c>
      <c r="L62" s="14">
        <f t="shared" si="36"/>
        <v>270.60804000000002</v>
      </c>
      <c r="M62" s="14">
        <f t="shared" si="36"/>
        <v>270.60804000000002</v>
      </c>
      <c r="N62" s="14">
        <f t="shared" si="36"/>
        <v>270.60804000000002</v>
      </c>
      <c r="O62" s="14">
        <f t="shared" si="36"/>
        <v>270.60804000000002</v>
      </c>
      <c r="P62" s="14">
        <f t="shared" si="36"/>
        <v>270.60804000000002</v>
      </c>
      <c r="Q62" s="14">
        <f t="shared" si="36"/>
        <v>270.60804000000002</v>
      </c>
      <c r="R62" s="14">
        <f t="shared" si="36"/>
        <v>270.60804000000002</v>
      </c>
      <c r="S62" s="14">
        <f>SUM(G62:R62)</f>
        <v>3247.2964800000004</v>
      </c>
    </row>
    <row r="63" spans="2:19" ht="15" x14ac:dyDescent="0.35">
      <c r="B63" s="5"/>
      <c r="C63" t="s">
        <v>10</v>
      </c>
      <c r="E63" s="11" t="s">
        <v>53</v>
      </c>
      <c r="F63" s="4">
        <v>438.38502479999994</v>
      </c>
      <c r="G63" s="4">
        <f t="shared" si="36"/>
        <v>36.5320854</v>
      </c>
      <c r="H63" s="4">
        <f t="shared" si="36"/>
        <v>36.5320854</v>
      </c>
      <c r="I63" s="4">
        <f t="shared" si="36"/>
        <v>36.5320854</v>
      </c>
      <c r="J63" s="4">
        <f t="shared" si="36"/>
        <v>36.5320854</v>
      </c>
      <c r="K63" s="4">
        <f t="shared" si="36"/>
        <v>36.5320854</v>
      </c>
      <c r="L63" s="4">
        <f t="shared" si="36"/>
        <v>36.5320854</v>
      </c>
      <c r="M63" s="4">
        <f t="shared" si="36"/>
        <v>36.5320854</v>
      </c>
      <c r="N63" s="4">
        <f t="shared" si="36"/>
        <v>36.5320854</v>
      </c>
      <c r="O63" s="4">
        <f t="shared" si="36"/>
        <v>36.5320854</v>
      </c>
      <c r="P63" s="4">
        <f t="shared" si="36"/>
        <v>36.5320854</v>
      </c>
      <c r="Q63" s="4">
        <f t="shared" si="36"/>
        <v>36.5320854</v>
      </c>
      <c r="R63" s="4">
        <f t="shared" si="36"/>
        <v>36.5320854</v>
      </c>
      <c r="S63" s="4">
        <f>SUM(G63:R63)</f>
        <v>438.38502480000011</v>
      </c>
    </row>
    <row r="64" spans="2:19" ht="15" x14ac:dyDescent="0.35">
      <c r="B64" s="5"/>
      <c r="D64" s="5" t="s">
        <v>122</v>
      </c>
      <c r="F64" s="6">
        <v>7885.9044817199992</v>
      </c>
      <c r="G64" s="6">
        <f t="shared" ref="G64:S64" si="37">SUM(G60:G63)</f>
        <v>657.15870681000001</v>
      </c>
      <c r="H64" s="6">
        <f t="shared" si="37"/>
        <v>657.15870681000001</v>
      </c>
      <c r="I64" s="6">
        <f t="shared" si="37"/>
        <v>657.15870681000001</v>
      </c>
      <c r="J64" s="6">
        <f t="shared" si="37"/>
        <v>657.15870681000001</v>
      </c>
      <c r="K64" s="6">
        <f t="shared" si="37"/>
        <v>657.15870681000001</v>
      </c>
      <c r="L64" s="6">
        <f t="shared" si="37"/>
        <v>657.15870681000001</v>
      </c>
      <c r="M64" s="6">
        <f t="shared" si="37"/>
        <v>657.15870681000001</v>
      </c>
      <c r="N64" s="6">
        <f t="shared" si="37"/>
        <v>657.15870681000001</v>
      </c>
      <c r="O64" s="6">
        <f t="shared" si="37"/>
        <v>657.15870681000001</v>
      </c>
      <c r="P64" s="6">
        <f t="shared" si="37"/>
        <v>657.15870681000001</v>
      </c>
      <c r="Q64" s="6">
        <f t="shared" si="37"/>
        <v>657.15870681000001</v>
      </c>
      <c r="R64" s="6">
        <f t="shared" si="37"/>
        <v>657.15870681000001</v>
      </c>
      <c r="S64" s="6">
        <f t="shared" si="37"/>
        <v>7885.9044817199992</v>
      </c>
    </row>
    <row r="65" spans="2:19" x14ac:dyDescent="0.2">
      <c r="B65" s="5"/>
      <c r="C65" t="s">
        <v>13</v>
      </c>
      <c r="D65" s="5"/>
      <c r="F65" s="14">
        <v>3247.29648</v>
      </c>
      <c r="G65" s="14">
        <f>+F65/4</f>
        <v>811.82411999999999</v>
      </c>
      <c r="H65" s="14">
        <f>+(F65-G65)/11</f>
        <v>221.40657818181816</v>
      </c>
      <c r="I65" s="14">
        <f t="shared" ref="I65:R65" si="38">+H65</f>
        <v>221.40657818181816</v>
      </c>
      <c r="J65" s="14">
        <f t="shared" si="38"/>
        <v>221.40657818181816</v>
      </c>
      <c r="K65" s="14">
        <f t="shared" si="38"/>
        <v>221.40657818181816</v>
      </c>
      <c r="L65" s="14">
        <f t="shared" si="38"/>
        <v>221.40657818181816</v>
      </c>
      <c r="M65" s="14">
        <f t="shared" si="38"/>
        <v>221.40657818181816</v>
      </c>
      <c r="N65" s="14">
        <f t="shared" si="38"/>
        <v>221.40657818181816</v>
      </c>
      <c r="O65" s="14">
        <f t="shared" si="38"/>
        <v>221.40657818181816</v>
      </c>
      <c r="P65" s="14">
        <f t="shared" si="38"/>
        <v>221.40657818181816</v>
      </c>
      <c r="Q65" s="14">
        <f t="shared" si="38"/>
        <v>221.40657818181816</v>
      </c>
      <c r="R65" s="14">
        <f t="shared" si="38"/>
        <v>221.40657818181816</v>
      </c>
      <c r="S65" s="14">
        <f>SUM(G65:R65)</f>
        <v>3247.2964799999991</v>
      </c>
    </row>
    <row r="66" spans="2:19" x14ac:dyDescent="0.2">
      <c r="B66" s="5"/>
      <c r="C66" t="s">
        <v>120</v>
      </c>
      <c r="D66" s="5"/>
      <c r="F66" s="14">
        <v>974.18894399999999</v>
      </c>
      <c r="G66" s="14">
        <f>+F66/4</f>
        <v>243.547236</v>
      </c>
      <c r="H66" s="14">
        <f>+(F66-G66)/11</f>
        <v>66.421973454545451</v>
      </c>
      <c r="I66" s="14">
        <f t="shared" ref="I66:R66" si="39">+H66</f>
        <v>66.421973454545451</v>
      </c>
      <c r="J66" s="14">
        <f t="shared" si="39"/>
        <v>66.421973454545451</v>
      </c>
      <c r="K66" s="14">
        <f t="shared" si="39"/>
        <v>66.421973454545451</v>
      </c>
      <c r="L66" s="14">
        <f t="shared" si="39"/>
        <v>66.421973454545451</v>
      </c>
      <c r="M66" s="14">
        <f t="shared" si="39"/>
        <v>66.421973454545451</v>
      </c>
      <c r="N66" s="14">
        <f t="shared" si="39"/>
        <v>66.421973454545451</v>
      </c>
      <c r="O66" s="14">
        <f t="shared" si="39"/>
        <v>66.421973454545451</v>
      </c>
      <c r="P66" s="14">
        <f t="shared" si="39"/>
        <v>66.421973454545451</v>
      </c>
      <c r="Q66" s="14">
        <f t="shared" si="39"/>
        <v>66.421973454545451</v>
      </c>
      <c r="R66" s="14">
        <f t="shared" si="39"/>
        <v>66.421973454545451</v>
      </c>
      <c r="S66" s="14">
        <f>SUM(G66:R66)</f>
        <v>974.18894399999965</v>
      </c>
    </row>
    <row r="67" spans="2:19" ht="15" x14ac:dyDescent="0.35">
      <c r="B67" s="5"/>
      <c r="C67" t="s">
        <v>119</v>
      </c>
      <c r="F67" s="4">
        <v>3247.29648</v>
      </c>
      <c r="G67" s="4">
        <f>+F67/4</f>
        <v>811.82411999999999</v>
      </c>
      <c r="H67" s="4">
        <f>+(F67-G67)/11</f>
        <v>221.40657818181816</v>
      </c>
      <c r="I67" s="4">
        <f t="shared" ref="I67:R67" si="40">+H67</f>
        <v>221.40657818181816</v>
      </c>
      <c r="J67" s="4">
        <f t="shared" si="40"/>
        <v>221.40657818181816</v>
      </c>
      <c r="K67" s="4">
        <f t="shared" si="40"/>
        <v>221.40657818181816</v>
      </c>
      <c r="L67" s="4">
        <f t="shared" si="40"/>
        <v>221.40657818181816</v>
      </c>
      <c r="M67" s="4">
        <f t="shared" si="40"/>
        <v>221.40657818181816</v>
      </c>
      <c r="N67" s="4">
        <f t="shared" si="40"/>
        <v>221.40657818181816</v>
      </c>
      <c r="O67" s="4">
        <f t="shared" si="40"/>
        <v>221.40657818181816</v>
      </c>
      <c r="P67" s="4">
        <f t="shared" si="40"/>
        <v>221.40657818181816</v>
      </c>
      <c r="Q67" s="4">
        <f t="shared" si="40"/>
        <v>221.40657818181816</v>
      </c>
      <c r="R67" s="4">
        <f t="shared" si="40"/>
        <v>221.40657818181816</v>
      </c>
      <c r="S67" s="4">
        <f>SUM(G67:R67)</f>
        <v>3247.2964799999991</v>
      </c>
    </row>
    <row r="68" spans="2:19" ht="15" x14ac:dyDescent="0.35">
      <c r="B68" s="5"/>
      <c r="D68" s="5" t="s">
        <v>123</v>
      </c>
      <c r="F68" s="6">
        <v>7468.7819040000004</v>
      </c>
      <c r="G68" s="6">
        <f t="shared" ref="G68:S68" si="41">SUM(G65:G67)</f>
        <v>1867.1954760000001</v>
      </c>
      <c r="H68" s="6">
        <f t="shared" si="41"/>
        <v>509.2351298181818</v>
      </c>
      <c r="I68" s="6">
        <f t="shared" si="41"/>
        <v>509.2351298181818</v>
      </c>
      <c r="J68" s="6">
        <f t="shared" si="41"/>
        <v>509.2351298181818</v>
      </c>
      <c r="K68" s="6">
        <f t="shared" si="41"/>
        <v>509.2351298181818</v>
      </c>
      <c r="L68" s="6">
        <f t="shared" si="41"/>
        <v>509.2351298181818</v>
      </c>
      <c r="M68" s="6">
        <f t="shared" si="41"/>
        <v>509.2351298181818</v>
      </c>
      <c r="N68" s="6">
        <f t="shared" si="41"/>
        <v>509.2351298181818</v>
      </c>
      <c r="O68" s="6">
        <f t="shared" si="41"/>
        <v>509.2351298181818</v>
      </c>
      <c r="P68" s="6">
        <f t="shared" si="41"/>
        <v>509.2351298181818</v>
      </c>
      <c r="Q68" s="6">
        <f t="shared" si="41"/>
        <v>509.2351298181818</v>
      </c>
      <c r="R68" s="6">
        <f t="shared" si="41"/>
        <v>509.2351298181818</v>
      </c>
      <c r="S68" s="6">
        <f t="shared" si="41"/>
        <v>7468.7819039999977</v>
      </c>
    </row>
    <row r="69" spans="2:19" ht="15" x14ac:dyDescent="0.35">
      <c r="B69" s="5" t="s">
        <v>124</v>
      </c>
      <c r="F69" s="6">
        <v>59193.188865719996</v>
      </c>
      <c r="G69" s="6">
        <f t="shared" ref="G69:S69" si="42">+G59+G64+G68</f>
        <v>6177.5627228099993</v>
      </c>
      <c r="H69" s="6">
        <f t="shared" si="42"/>
        <v>4819.6023766281814</v>
      </c>
      <c r="I69" s="6">
        <f t="shared" si="42"/>
        <v>4819.6023766281814</v>
      </c>
      <c r="J69" s="6">
        <f t="shared" si="42"/>
        <v>4819.6023766281814</v>
      </c>
      <c r="K69" s="6">
        <f t="shared" si="42"/>
        <v>4819.6023766281814</v>
      </c>
      <c r="L69" s="6">
        <f t="shared" si="42"/>
        <v>4819.6023766281814</v>
      </c>
      <c r="M69" s="6">
        <f t="shared" si="42"/>
        <v>4819.6023766281814</v>
      </c>
      <c r="N69" s="6">
        <f t="shared" si="42"/>
        <v>4819.6023766281814</v>
      </c>
      <c r="O69" s="6">
        <f t="shared" si="42"/>
        <v>4819.6023766281814</v>
      </c>
      <c r="P69" s="6">
        <f t="shared" si="42"/>
        <v>4819.6023766281814</v>
      </c>
      <c r="Q69" s="6">
        <f t="shared" si="42"/>
        <v>4819.6023766281814</v>
      </c>
      <c r="R69" s="6">
        <f t="shared" si="42"/>
        <v>4819.6023766281814</v>
      </c>
      <c r="S69" s="6">
        <f t="shared" si="42"/>
        <v>59193.188865719989</v>
      </c>
    </row>
    <row r="70" spans="2:19" hidden="1" x14ac:dyDescent="0.2"/>
    <row r="71" spans="2:19" hidden="1" x14ac:dyDescent="0.2">
      <c r="B71" s="5" t="s">
        <v>91</v>
      </c>
      <c r="F71"/>
    </row>
    <row r="72" spans="2:19" ht="15" hidden="1" x14ac:dyDescent="0.35">
      <c r="C72" s="5" t="s">
        <v>11</v>
      </c>
      <c r="D72" s="5"/>
      <c r="E72" s="3" t="s">
        <v>54</v>
      </c>
      <c r="F72" s="6">
        <v>0</v>
      </c>
      <c r="G72" s="6">
        <f>+F72</f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f>SUM(G72:R72)</f>
        <v>0</v>
      </c>
    </row>
    <row r="73" spans="2:19" x14ac:dyDescent="0.2"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</row>
    <row r="74" spans="2:19" x14ac:dyDescent="0.2">
      <c r="B74" s="5" t="s">
        <v>19</v>
      </c>
    </row>
    <row r="75" spans="2:19" ht="15" x14ac:dyDescent="0.35">
      <c r="C75" s="5" t="s">
        <v>11</v>
      </c>
      <c r="D75" s="5"/>
      <c r="E75" s="3" t="s">
        <v>54</v>
      </c>
      <c r="F75" s="6">
        <v>8118.2412000000004</v>
      </c>
      <c r="G75" s="6">
        <f>+F75</f>
        <v>8118.2412000000004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f>SUM(G75:R75)</f>
        <v>8118.2412000000004</v>
      </c>
    </row>
    <row r="77" spans="2:19" x14ac:dyDescent="0.2">
      <c r="B77" s="5" t="s">
        <v>24</v>
      </c>
    </row>
    <row r="78" spans="2:19" x14ac:dyDescent="0.2">
      <c r="C78" t="s">
        <v>20</v>
      </c>
      <c r="E78" s="3" t="s">
        <v>54</v>
      </c>
      <c r="F78" s="14">
        <v>2000</v>
      </c>
      <c r="G78" s="14">
        <f>+F78/12</f>
        <v>166.66666666666666</v>
      </c>
      <c r="H78" s="14">
        <f t="shared" ref="H78:R78" si="43">+G78</f>
        <v>166.66666666666666</v>
      </c>
      <c r="I78" s="14">
        <f t="shared" si="43"/>
        <v>166.66666666666666</v>
      </c>
      <c r="J78" s="14">
        <f t="shared" si="43"/>
        <v>166.66666666666666</v>
      </c>
      <c r="K78" s="14">
        <f t="shared" si="43"/>
        <v>166.66666666666666</v>
      </c>
      <c r="L78" s="14">
        <f t="shared" si="43"/>
        <v>166.66666666666666</v>
      </c>
      <c r="M78" s="14">
        <f t="shared" si="43"/>
        <v>166.66666666666666</v>
      </c>
      <c r="N78" s="14">
        <f t="shared" si="43"/>
        <v>166.66666666666666</v>
      </c>
      <c r="O78" s="14">
        <f t="shared" si="43"/>
        <v>166.66666666666666</v>
      </c>
      <c r="P78" s="14">
        <f t="shared" si="43"/>
        <v>166.66666666666666</v>
      </c>
      <c r="Q78" s="14">
        <f t="shared" si="43"/>
        <v>166.66666666666666</v>
      </c>
      <c r="R78" s="14">
        <f t="shared" si="43"/>
        <v>166.66666666666666</v>
      </c>
      <c r="S78" s="14">
        <f t="shared" ref="S78:S85" si="44">SUM(G78:R78)</f>
        <v>2000.0000000000002</v>
      </c>
    </row>
    <row r="79" spans="2:19" x14ac:dyDescent="0.2">
      <c r="C79" t="s">
        <v>157</v>
      </c>
      <c r="E79" s="3" t="s">
        <v>54</v>
      </c>
      <c r="F79" s="14">
        <v>187470.05308965963</v>
      </c>
      <c r="G79" s="14">
        <f>+F79/12</f>
        <v>15622.504424138302</v>
      </c>
      <c r="H79" s="14">
        <f t="shared" ref="H79:R79" si="45">+G79</f>
        <v>15622.504424138302</v>
      </c>
      <c r="I79" s="14">
        <f t="shared" si="45"/>
        <v>15622.504424138302</v>
      </c>
      <c r="J79" s="14">
        <f t="shared" si="45"/>
        <v>15622.504424138302</v>
      </c>
      <c r="K79" s="14">
        <f t="shared" si="45"/>
        <v>15622.504424138302</v>
      </c>
      <c r="L79" s="14">
        <f t="shared" si="45"/>
        <v>15622.504424138302</v>
      </c>
      <c r="M79" s="14">
        <f t="shared" si="45"/>
        <v>15622.504424138302</v>
      </c>
      <c r="N79" s="14">
        <f t="shared" si="45"/>
        <v>15622.504424138302</v>
      </c>
      <c r="O79" s="14">
        <f t="shared" si="45"/>
        <v>15622.504424138302</v>
      </c>
      <c r="P79" s="14">
        <f t="shared" si="45"/>
        <v>15622.504424138302</v>
      </c>
      <c r="Q79" s="14">
        <f t="shared" si="45"/>
        <v>15622.504424138302</v>
      </c>
      <c r="R79" s="14">
        <f t="shared" si="45"/>
        <v>15622.504424138302</v>
      </c>
      <c r="S79" s="14">
        <f t="shared" si="44"/>
        <v>187470.05308965966</v>
      </c>
    </row>
    <row r="80" spans="2:19" x14ac:dyDescent="0.2">
      <c r="C80" t="s">
        <v>76</v>
      </c>
      <c r="E80" s="3" t="s">
        <v>54</v>
      </c>
      <c r="F80" s="14">
        <v>9741.8894400000008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f>+F80</f>
        <v>9741.8894400000008</v>
      </c>
      <c r="S80" s="14">
        <f t="shared" si="44"/>
        <v>9741.8894400000008</v>
      </c>
    </row>
    <row r="81" spans="2:19" hidden="1" x14ac:dyDescent="0.2">
      <c r="C81" t="s">
        <v>93</v>
      </c>
      <c r="E81" s="3" t="s">
        <v>54</v>
      </c>
      <c r="F81" s="14">
        <v>0</v>
      </c>
      <c r="G81" s="14">
        <f>+F81</f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f t="shared" si="44"/>
        <v>0</v>
      </c>
    </row>
    <row r="82" spans="2:19" x14ac:dyDescent="0.2">
      <c r="C82" t="s">
        <v>12</v>
      </c>
      <c r="E82" s="3" t="s">
        <v>54</v>
      </c>
      <c r="F82" s="14">
        <v>4329.7286400000003</v>
      </c>
      <c r="G82" s="14">
        <f>+F82/12</f>
        <v>360.81072</v>
      </c>
      <c r="H82" s="14">
        <f t="shared" ref="H82:R82" si="46">+G82</f>
        <v>360.81072</v>
      </c>
      <c r="I82" s="14">
        <f t="shared" si="46"/>
        <v>360.81072</v>
      </c>
      <c r="J82" s="14">
        <f t="shared" si="46"/>
        <v>360.81072</v>
      </c>
      <c r="K82" s="14">
        <f t="shared" si="46"/>
        <v>360.81072</v>
      </c>
      <c r="L82" s="14">
        <f t="shared" si="46"/>
        <v>360.81072</v>
      </c>
      <c r="M82" s="14">
        <f t="shared" si="46"/>
        <v>360.81072</v>
      </c>
      <c r="N82" s="14">
        <f t="shared" si="46"/>
        <v>360.81072</v>
      </c>
      <c r="O82" s="14">
        <f t="shared" si="46"/>
        <v>360.81072</v>
      </c>
      <c r="P82" s="14">
        <f t="shared" si="46"/>
        <v>360.81072</v>
      </c>
      <c r="Q82" s="14">
        <f t="shared" si="46"/>
        <v>360.81072</v>
      </c>
      <c r="R82" s="14">
        <f t="shared" si="46"/>
        <v>360.81072</v>
      </c>
      <c r="S82" s="14">
        <f t="shared" si="44"/>
        <v>4329.7286400000003</v>
      </c>
    </row>
    <row r="83" spans="2:19" x14ac:dyDescent="0.2">
      <c r="C83" t="s">
        <v>21</v>
      </c>
      <c r="E83" s="3" t="s">
        <v>54</v>
      </c>
      <c r="F83" s="14">
        <v>9741.8894400000008</v>
      </c>
      <c r="G83" s="14">
        <f>+F83</f>
        <v>9741.8894400000008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f t="shared" si="44"/>
        <v>9741.8894400000008</v>
      </c>
    </row>
    <row r="84" spans="2:19" ht="15" x14ac:dyDescent="0.35">
      <c r="C84" t="s">
        <v>22</v>
      </c>
      <c r="E84" s="16"/>
      <c r="F84" s="4">
        <v>93735.026544829816</v>
      </c>
      <c r="G84" s="4">
        <f>+F84/12</f>
        <v>7811.252212069151</v>
      </c>
      <c r="H84" s="4">
        <f t="shared" ref="H84:R84" si="47">+G84</f>
        <v>7811.252212069151</v>
      </c>
      <c r="I84" s="4">
        <f t="shared" si="47"/>
        <v>7811.252212069151</v>
      </c>
      <c r="J84" s="4">
        <f t="shared" si="47"/>
        <v>7811.252212069151</v>
      </c>
      <c r="K84" s="4">
        <f t="shared" si="47"/>
        <v>7811.252212069151</v>
      </c>
      <c r="L84" s="4">
        <f t="shared" si="47"/>
        <v>7811.252212069151</v>
      </c>
      <c r="M84" s="4">
        <f t="shared" si="47"/>
        <v>7811.252212069151</v>
      </c>
      <c r="N84" s="4">
        <f t="shared" si="47"/>
        <v>7811.252212069151</v>
      </c>
      <c r="O84" s="4">
        <f t="shared" si="47"/>
        <v>7811.252212069151</v>
      </c>
      <c r="P84" s="4">
        <f t="shared" si="47"/>
        <v>7811.252212069151</v>
      </c>
      <c r="Q84" s="4">
        <f t="shared" si="47"/>
        <v>7811.252212069151</v>
      </c>
      <c r="R84" s="4">
        <f t="shared" si="47"/>
        <v>7811.252212069151</v>
      </c>
      <c r="S84" s="4">
        <f t="shared" si="44"/>
        <v>93735.026544829831</v>
      </c>
    </row>
    <row r="85" spans="2:19" ht="15" hidden="1" x14ac:dyDescent="0.35">
      <c r="C85" t="s">
        <v>92</v>
      </c>
      <c r="E85" s="16">
        <v>0.03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f t="shared" si="44"/>
        <v>0</v>
      </c>
    </row>
    <row r="86" spans="2:19" ht="15" x14ac:dyDescent="0.35">
      <c r="B86" s="5" t="s">
        <v>23</v>
      </c>
      <c r="C86" s="5"/>
      <c r="D86" s="5"/>
      <c r="E86" s="9"/>
      <c r="F86" s="6">
        <v>307018.58715448942</v>
      </c>
      <c r="G86" s="6">
        <f t="shared" ref="G86:S86" si="48">SUM(G78:G85)</f>
        <v>33703.123462874122</v>
      </c>
      <c r="H86" s="6">
        <f t="shared" si="48"/>
        <v>23961.23402287412</v>
      </c>
      <c r="I86" s="6">
        <f t="shared" si="48"/>
        <v>23961.23402287412</v>
      </c>
      <c r="J86" s="6">
        <f t="shared" si="48"/>
        <v>23961.23402287412</v>
      </c>
      <c r="K86" s="6">
        <f t="shared" si="48"/>
        <v>23961.23402287412</v>
      </c>
      <c r="L86" s="6">
        <f t="shared" si="48"/>
        <v>23961.23402287412</v>
      </c>
      <c r="M86" s="6">
        <f t="shared" si="48"/>
        <v>23961.23402287412</v>
      </c>
      <c r="N86" s="6">
        <f t="shared" si="48"/>
        <v>23961.23402287412</v>
      </c>
      <c r="O86" s="6">
        <f t="shared" si="48"/>
        <v>23961.23402287412</v>
      </c>
      <c r="P86" s="6">
        <f t="shared" si="48"/>
        <v>23961.23402287412</v>
      </c>
      <c r="Q86" s="6">
        <f t="shared" si="48"/>
        <v>23961.23402287412</v>
      </c>
      <c r="R86" s="6">
        <f t="shared" si="48"/>
        <v>33703.123462874122</v>
      </c>
      <c r="S86" s="6">
        <f t="shared" si="48"/>
        <v>307018.58715448948</v>
      </c>
    </row>
    <row r="87" spans="2:19" x14ac:dyDescent="0.2"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2:19" x14ac:dyDescent="0.2">
      <c r="B88" s="5" t="s">
        <v>26</v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2:19" x14ac:dyDescent="0.2">
      <c r="C89" t="s">
        <v>131</v>
      </c>
      <c r="E89" s="3" t="s">
        <v>135</v>
      </c>
      <c r="F89" s="14">
        <v>81182.412000000011</v>
      </c>
      <c r="G89" s="14">
        <f>+F89/12</f>
        <v>6765.2010000000009</v>
      </c>
      <c r="H89" s="14">
        <f t="shared" ref="H89:R89" si="49">+G89</f>
        <v>6765.2010000000009</v>
      </c>
      <c r="I89" s="14">
        <f t="shared" si="49"/>
        <v>6765.2010000000009</v>
      </c>
      <c r="J89" s="14">
        <f t="shared" si="49"/>
        <v>6765.2010000000009</v>
      </c>
      <c r="K89" s="14">
        <f t="shared" si="49"/>
        <v>6765.2010000000009</v>
      </c>
      <c r="L89" s="14">
        <f t="shared" si="49"/>
        <v>6765.2010000000009</v>
      </c>
      <c r="M89" s="14">
        <f t="shared" si="49"/>
        <v>6765.2010000000009</v>
      </c>
      <c r="N89" s="14">
        <f t="shared" si="49"/>
        <v>6765.2010000000009</v>
      </c>
      <c r="O89" s="14">
        <f t="shared" si="49"/>
        <v>6765.2010000000009</v>
      </c>
      <c r="P89" s="14">
        <f t="shared" si="49"/>
        <v>6765.2010000000009</v>
      </c>
      <c r="Q89" s="14">
        <f t="shared" si="49"/>
        <v>6765.2010000000009</v>
      </c>
      <c r="R89" s="14">
        <f t="shared" si="49"/>
        <v>6765.2010000000009</v>
      </c>
      <c r="S89" s="14">
        <f>SUM(G89:R89)</f>
        <v>81182.412000000011</v>
      </c>
    </row>
    <row r="90" spans="2:19" hidden="1" x14ac:dyDescent="0.2">
      <c r="C90" t="s">
        <v>132</v>
      </c>
      <c r="E90" s="3" t="s">
        <v>145</v>
      </c>
      <c r="F90" s="14">
        <v>0</v>
      </c>
      <c r="S90" s="14">
        <f>SUM(G90:R90)</f>
        <v>0</v>
      </c>
    </row>
    <row r="91" spans="2:19" ht="15" hidden="1" x14ac:dyDescent="0.35">
      <c r="C91" t="s">
        <v>133</v>
      </c>
      <c r="E91" s="3" t="s">
        <v>136</v>
      </c>
      <c r="F91" s="14">
        <v>0</v>
      </c>
      <c r="S91" s="4">
        <f>SUM(G91:R91)</f>
        <v>0</v>
      </c>
    </row>
    <row r="92" spans="2:19" ht="15" x14ac:dyDescent="0.35">
      <c r="C92" t="s">
        <v>134</v>
      </c>
      <c r="E92" s="3" t="s">
        <v>135</v>
      </c>
      <c r="F92" s="4">
        <v>60259.635071999997</v>
      </c>
      <c r="G92" s="4">
        <f>+F92/12</f>
        <v>5021.6362559999998</v>
      </c>
      <c r="H92" s="4">
        <f t="shared" ref="H92:R92" si="50">+G92</f>
        <v>5021.6362559999998</v>
      </c>
      <c r="I92" s="4">
        <f t="shared" si="50"/>
        <v>5021.6362559999998</v>
      </c>
      <c r="J92" s="4">
        <f t="shared" si="50"/>
        <v>5021.6362559999998</v>
      </c>
      <c r="K92" s="4">
        <f t="shared" si="50"/>
        <v>5021.6362559999998</v>
      </c>
      <c r="L92" s="4">
        <f t="shared" si="50"/>
        <v>5021.6362559999998</v>
      </c>
      <c r="M92" s="4">
        <f t="shared" si="50"/>
        <v>5021.6362559999998</v>
      </c>
      <c r="N92" s="4">
        <f t="shared" si="50"/>
        <v>5021.6362559999998</v>
      </c>
      <c r="O92" s="4">
        <f t="shared" si="50"/>
        <v>5021.6362559999998</v>
      </c>
      <c r="P92" s="4">
        <f t="shared" si="50"/>
        <v>5021.6362559999998</v>
      </c>
      <c r="Q92" s="4">
        <f t="shared" si="50"/>
        <v>5021.6362559999998</v>
      </c>
      <c r="R92" s="4">
        <f t="shared" si="50"/>
        <v>5021.6362559999998</v>
      </c>
      <c r="S92" s="4">
        <f>SUM(G92:R92)</f>
        <v>60259.635071999983</v>
      </c>
    </row>
    <row r="93" spans="2:19" ht="15" x14ac:dyDescent="0.35">
      <c r="D93" s="5" t="s">
        <v>27</v>
      </c>
      <c r="E93" s="9"/>
      <c r="F93" s="6">
        <v>141442.04707200002</v>
      </c>
      <c r="G93" s="6">
        <f t="shared" ref="G93:S93" si="51">SUM(G89:G92)</f>
        <v>11786.837256000001</v>
      </c>
      <c r="H93" s="6">
        <f t="shared" si="51"/>
        <v>11786.837256000001</v>
      </c>
      <c r="I93" s="6">
        <f t="shared" si="51"/>
        <v>11786.837256000001</v>
      </c>
      <c r="J93" s="6">
        <f t="shared" si="51"/>
        <v>11786.837256000001</v>
      </c>
      <c r="K93" s="6">
        <f t="shared" si="51"/>
        <v>11786.837256000001</v>
      </c>
      <c r="L93" s="6">
        <f t="shared" si="51"/>
        <v>11786.837256000001</v>
      </c>
      <c r="M93" s="6">
        <f t="shared" si="51"/>
        <v>11786.837256000001</v>
      </c>
      <c r="N93" s="6">
        <f t="shared" si="51"/>
        <v>11786.837256000001</v>
      </c>
      <c r="O93" s="6">
        <f t="shared" si="51"/>
        <v>11786.837256000001</v>
      </c>
      <c r="P93" s="6">
        <f t="shared" si="51"/>
        <v>11786.837256000001</v>
      </c>
      <c r="Q93" s="6">
        <f t="shared" si="51"/>
        <v>11786.837256000001</v>
      </c>
      <c r="R93" s="6">
        <f t="shared" si="51"/>
        <v>11786.837256000001</v>
      </c>
      <c r="S93" s="6">
        <f t="shared" si="51"/>
        <v>141442.04707199999</v>
      </c>
    </row>
    <row r="94" spans="2:19" x14ac:dyDescent="0.2">
      <c r="C94" t="s">
        <v>7</v>
      </c>
      <c r="E94" s="13">
        <v>1.4999999999999999E-2</v>
      </c>
      <c r="F94" s="14">
        <v>2121.63070608</v>
      </c>
      <c r="G94" s="14">
        <f t="shared" ref="G94:R97" si="52">+$F94/$F$93*G$93</f>
        <v>176.80255883999999</v>
      </c>
      <c r="H94" s="14">
        <f t="shared" si="52"/>
        <v>176.80255883999999</v>
      </c>
      <c r="I94" s="14">
        <f t="shared" si="52"/>
        <v>176.80255883999999</v>
      </c>
      <c r="J94" s="14">
        <f t="shared" si="52"/>
        <v>176.80255883999999</v>
      </c>
      <c r="K94" s="14">
        <f t="shared" si="52"/>
        <v>176.80255883999999</v>
      </c>
      <c r="L94" s="14">
        <f t="shared" si="52"/>
        <v>176.80255883999999</v>
      </c>
      <c r="M94" s="14">
        <f t="shared" si="52"/>
        <v>176.80255883999999</v>
      </c>
      <c r="N94" s="14">
        <f t="shared" si="52"/>
        <v>176.80255883999999</v>
      </c>
      <c r="O94" s="14">
        <f t="shared" si="52"/>
        <v>176.80255883999999</v>
      </c>
      <c r="P94" s="14">
        <f t="shared" si="52"/>
        <v>176.80255883999999</v>
      </c>
      <c r="Q94" s="14">
        <f t="shared" si="52"/>
        <v>176.80255883999999</v>
      </c>
      <c r="R94" s="14">
        <f t="shared" si="52"/>
        <v>176.80255883999999</v>
      </c>
      <c r="S94" s="14">
        <f>SUM(G94:R94)</f>
        <v>2121.6307060800004</v>
      </c>
    </row>
    <row r="95" spans="2:19" x14ac:dyDescent="0.2">
      <c r="C95" t="s">
        <v>8</v>
      </c>
      <c r="E95" s="3" t="s">
        <v>52</v>
      </c>
      <c r="F95" s="14">
        <v>11387.316601008</v>
      </c>
      <c r="G95" s="14">
        <f t="shared" si="52"/>
        <v>948.94305008399999</v>
      </c>
      <c r="H95" s="14">
        <f t="shared" si="52"/>
        <v>948.94305008399999</v>
      </c>
      <c r="I95" s="14">
        <f t="shared" si="52"/>
        <v>948.94305008399999</v>
      </c>
      <c r="J95" s="14">
        <f t="shared" si="52"/>
        <v>948.94305008399999</v>
      </c>
      <c r="K95" s="14">
        <f t="shared" si="52"/>
        <v>948.94305008399999</v>
      </c>
      <c r="L95" s="14">
        <f t="shared" si="52"/>
        <v>948.94305008399999</v>
      </c>
      <c r="M95" s="14">
        <f t="shared" si="52"/>
        <v>948.94305008399999</v>
      </c>
      <c r="N95" s="14">
        <f t="shared" si="52"/>
        <v>948.94305008399999</v>
      </c>
      <c r="O95" s="14">
        <f t="shared" si="52"/>
        <v>948.94305008399999</v>
      </c>
      <c r="P95" s="14">
        <f t="shared" si="52"/>
        <v>948.94305008399999</v>
      </c>
      <c r="Q95" s="14">
        <f t="shared" si="52"/>
        <v>948.94305008399999</v>
      </c>
      <c r="R95" s="14">
        <f t="shared" si="52"/>
        <v>948.94305008399999</v>
      </c>
      <c r="S95" s="14">
        <f>SUM(G95:R95)</f>
        <v>11387.316601008002</v>
      </c>
    </row>
    <row r="96" spans="2:19" x14ac:dyDescent="0.2">
      <c r="C96" t="s">
        <v>9</v>
      </c>
      <c r="E96" s="3" t="str">
        <f>CONCATENATE(ins," per month per employee")</f>
        <v>266.666666666666 per month per employee</v>
      </c>
      <c r="F96" s="14">
        <v>9741.889439999999</v>
      </c>
      <c r="G96" s="14">
        <f t="shared" si="52"/>
        <v>811.82411999999988</v>
      </c>
      <c r="H96" s="14">
        <f t="shared" si="52"/>
        <v>811.82411999999988</v>
      </c>
      <c r="I96" s="14">
        <f t="shared" si="52"/>
        <v>811.82411999999988</v>
      </c>
      <c r="J96" s="14">
        <f t="shared" si="52"/>
        <v>811.82411999999988</v>
      </c>
      <c r="K96" s="14">
        <f t="shared" si="52"/>
        <v>811.82411999999988</v>
      </c>
      <c r="L96" s="14">
        <f t="shared" si="52"/>
        <v>811.82411999999988</v>
      </c>
      <c r="M96" s="14">
        <f t="shared" si="52"/>
        <v>811.82411999999988</v>
      </c>
      <c r="N96" s="14">
        <f t="shared" si="52"/>
        <v>811.82411999999988</v>
      </c>
      <c r="O96" s="14">
        <f t="shared" si="52"/>
        <v>811.82411999999988</v>
      </c>
      <c r="P96" s="14">
        <f t="shared" si="52"/>
        <v>811.82411999999988</v>
      </c>
      <c r="Q96" s="14">
        <f t="shared" si="52"/>
        <v>811.82411999999988</v>
      </c>
      <c r="R96" s="14">
        <f t="shared" si="52"/>
        <v>811.82411999999988</v>
      </c>
      <c r="S96" s="14">
        <f>SUM(G96:R96)</f>
        <v>9741.889439999999</v>
      </c>
    </row>
    <row r="97" spans="2:19" ht="15" x14ac:dyDescent="0.35">
      <c r="C97" t="s">
        <v>10</v>
      </c>
      <c r="E97" s="11" t="s">
        <v>53</v>
      </c>
      <c r="F97" s="4">
        <v>1414.4204707200001</v>
      </c>
      <c r="G97" s="4">
        <f t="shared" si="52"/>
        <v>117.86837256000001</v>
      </c>
      <c r="H97" s="4">
        <f t="shared" si="52"/>
        <v>117.86837256000001</v>
      </c>
      <c r="I97" s="4">
        <f t="shared" si="52"/>
        <v>117.86837256000001</v>
      </c>
      <c r="J97" s="4">
        <f t="shared" si="52"/>
        <v>117.86837256000001</v>
      </c>
      <c r="K97" s="4">
        <f t="shared" si="52"/>
        <v>117.86837256000001</v>
      </c>
      <c r="L97" s="4">
        <f t="shared" si="52"/>
        <v>117.86837256000001</v>
      </c>
      <c r="M97" s="4">
        <f t="shared" si="52"/>
        <v>117.86837256000001</v>
      </c>
      <c r="N97" s="4">
        <f t="shared" si="52"/>
        <v>117.86837256000001</v>
      </c>
      <c r="O97" s="4">
        <f t="shared" si="52"/>
        <v>117.86837256000001</v>
      </c>
      <c r="P97" s="4">
        <f t="shared" si="52"/>
        <v>117.86837256000001</v>
      </c>
      <c r="Q97" s="4">
        <f t="shared" si="52"/>
        <v>117.86837256000001</v>
      </c>
      <c r="R97" s="4">
        <f t="shared" si="52"/>
        <v>117.86837256000001</v>
      </c>
      <c r="S97" s="4">
        <f>SUM(G97:R97)</f>
        <v>1414.4204707199997</v>
      </c>
    </row>
    <row r="98" spans="2:19" ht="15" x14ac:dyDescent="0.35">
      <c r="D98" s="5" t="s">
        <v>28</v>
      </c>
      <c r="E98" s="9"/>
      <c r="F98" s="6">
        <v>24665.257217808001</v>
      </c>
      <c r="G98" s="6">
        <f t="shared" ref="G98:S98" si="53">SUM(G94:G97)</f>
        <v>2055.4381014839996</v>
      </c>
      <c r="H98" s="6">
        <f t="shared" si="53"/>
        <v>2055.4381014839996</v>
      </c>
      <c r="I98" s="6">
        <f t="shared" si="53"/>
        <v>2055.4381014839996</v>
      </c>
      <c r="J98" s="6">
        <f t="shared" si="53"/>
        <v>2055.4381014839996</v>
      </c>
      <c r="K98" s="6">
        <f t="shared" si="53"/>
        <v>2055.4381014839996</v>
      </c>
      <c r="L98" s="6">
        <f t="shared" si="53"/>
        <v>2055.4381014839996</v>
      </c>
      <c r="M98" s="6">
        <f t="shared" si="53"/>
        <v>2055.4381014839996</v>
      </c>
      <c r="N98" s="6">
        <f t="shared" si="53"/>
        <v>2055.4381014839996</v>
      </c>
      <c r="O98" s="6">
        <f t="shared" si="53"/>
        <v>2055.4381014839996</v>
      </c>
      <c r="P98" s="6">
        <f t="shared" si="53"/>
        <v>2055.4381014839996</v>
      </c>
      <c r="Q98" s="6">
        <f t="shared" si="53"/>
        <v>2055.4381014839996</v>
      </c>
      <c r="R98" s="6">
        <f t="shared" si="53"/>
        <v>2055.4381014839996</v>
      </c>
      <c r="S98" s="6">
        <f t="shared" si="53"/>
        <v>24665.257217808004</v>
      </c>
    </row>
    <row r="99" spans="2:19" x14ac:dyDescent="0.2">
      <c r="C99" t="s">
        <v>12</v>
      </c>
      <c r="E99" s="3" t="s">
        <v>54</v>
      </c>
      <c r="F99" s="14">
        <v>2164.8643200000001</v>
      </c>
      <c r="G99" s="14">
        <f>+F99/12</f>
        <v>180.40536</v>
      </c>
      <c r="H99" s="14">
        <f t="shared" ref="H99:R99" si="54">+G99</f>
        <v>180.40536</v>
      </c>
      <c r="I99" s="14">
        <f t="shared" si="54"/>
        <v>180.40536</v>
      </c>
      <c r="J99" s="14">
        <f t="shared" si="54"/>
        <v>180.40536</v>
      </c>
      <c r="K99" s="14">
        <f t="shared" si="54"/>
        <v>180.40536</v>
      </c>
      <c r="L99" s="14">
        <f t="shared" si="54"/>
        <v>180.40536</v>
      </c>
      <c r="M99" s="14">
        <f t="shared" si="54"/>
        <v>180.40536</v>
      </c>
      <c r="N99" s="14">
        <f t="shared" si="54"/>
        <v>180.40536</v>
      </c>
      <c r="O99" s="14">
        <f t="shared" si="54"/>
        <v>180.40536</v>
      </c>
      <c r="P99" s="14">
        <f t="shared" si="54"/>
        <v>180.40536</v>
      </c>
      <c r="Q99" s="14">
        <f t="shared" si="54"/>
        <v>180.40536</v>
      </c>
      <c r="R99" s="14">
        <f t="shared" si="54"/>
        <v>180.40536</v>
      </c>
      <c r="S99" s="14">
        <f t="shared" ref="S99:S105" si="55">SUM(G99:R99)</f>
        <v>2164.8643200000001</v>
      </c>
    </row>
    <row r="100" spans="2:19" x14ac:dyDescent="0.2">
      <c r="C100" t="s">
        <v>29</v>
      </c>
      <c r="E100" s="3" t="s">
        <v>138</v>
      </c>
      <c r="F100" s="14">
        <v>9741.8894400000008</v>
      </c>
      <c r="G100" s="14">
        <f>+F100/12</f>
        <v>811.82412000000011</v>
      </c>
      <c r="H100" s="14">
        <f t="shared" ref="H100:R100" si="56">+G100</f>
        <v>811.82412000000011</v>
      </c>
      <c r="I100" s="14">
        <f t="shared" si="56"/>
        <v>811.82412000000011</v>
      </c>
      <c r="J100" s="14">
        <f t="shared" si="56"/>
        <v>811.82412000000011</v>
      </c>
      <c r="K100" s="14">
        <f t="shared" si="56"/>
        <v>811.82412000000011</v>
      </c>
      <c r="L100" s="14">
        <f t="shared" si="56"/>
        <v>811.82412000000011</v>
      </c>
      <c r="M100" s="14">
        <f t="shared" si="56"/>
        <v>811.82412000000011</v>
      </c>
      <c r="N100" s="14">
        <f t="shared" si="56"/>
        <v>811.82412000000011</v>
      </c>
      <c r="O100" s="14">
        <f t="shared" si="56"/>
        <v>811.82412000000011</v>
      </c>
      <c r="P100" s="14">
        <f t="shared" si="56"/>
        <v>811.82412000000011</v>
      </c>
      <c r="Q100" s="14">
        <f t="shared" si="56"/>
        <v>811.82412000000011</v>
      </c>
      <c r="R100" s="14">
        <f t="shared" si="56"/>
        <v>811.82412000000011</v>
      </c>
      <c r="S100" s="14">
        <f t="shared" si="55"/>
        <v>9741.8894400000008</v>
      </c>
    </row>
    <row r="101" spans="2:19" x14ac:dyDescent="0.2">
      <c r="C101" t="s">
        <v>30</v>
      </c>
      <c r="E101" s="3" t="s">
        <v>54</v>
      </c>
      <c r="F101" s="14">
        <v>4870.9447200000004</v>
      </c>
      <c r="G101" s="14">
        <f>+F101/12</f>
        <v>405.91206000000005</v>
      </c>
      <c r="H101" s="14">
        <f t="shared" ref="H101:R101" si="57">+G101</f>
        <v>405.91206000000005</v>
      </c>
      <c r="I101" s="14">
        <f t="shared" si="57"/>
        <v>405.91206000000005</v>
      </c>
      <c r="J101" s="14">
        <f t="shared" si="57"/>
        <v>405.91206000000005</v>
      </c>
      <c r="K101" s="14">
        <f t="shared" si="57"/>
        <v>405.91206000000005</v>
      </c>
      <c r="L101" s="14">
        <f t="shared" si="57"/>
        <v>405.91206000000005</v>
      </c>
      <c r="M101" s="14">
        <f t="shared" si="57"/>
        <v>405.91206000000005</v>
      </c>
      <c r="N101" s="14">
        <f t="shared" si="57"/>
        <v>405.91206000000005</v>
      </c>
      <c r="O101" s="14">
        <f t="shared" si="57"/>
        <v>405.91206000000005</v>
      </c>
      <c r="P101" s="14">
        <f t="shared" si="57"/>
        <v>405.91206000000005</v>
      </c>
      <c r="Q101" s="14">
        <f t="shared" si="57"/>
        <v>405.91206000000005</v>
      </c>
      <c r="R101" s="14">
        <f t="shared" si="57"/>
        <v>405.91206000000005</v>
      </c>
      <c r="S101" s="14">
        <f t="shared" si="55"/>
        <v>4870.9447200000004</v>
      </c>
    </row>
    <row r="102" spans="2:19" x14ac:dyDescent="0.2">
      <c r="C102" t="s">
        <v>73</v>
      </c>
      <c r="E102" s="3" t="s">
        <v>54</v>
      </c>
      <c r="F102" s="14">
        <v>2122.4160000000002</v>
      </c>
      <c r="G102" s="14">
        <f>+F102/4</f>
        <v>530.60400000000004</v>
      </c>
      <c r="H102" s="14">
        <f>(F102-G102)/11</f>
        <v>144.71018181818184</v>
      </c>
      <c r="I102" s="14">
        <f t="shared" ref="I102:R102" si="58">+H102</f>
        <v>144.71018181818184</v>
      </c>
      <c r="J102" s="14">
        <f t="shared" si="58"/>
        <v>144.71018181818184</v>
      </c>
      <c r="K102" s="14">
        <f t="shared" si="58"/>
        <v>144.71018181818184</v>
      </c>
      <c r="L102" s="14">
        <f t="shared" si="58"/>
        <v>144.71018181818184</v>
      </c>
      <c r="M102" s="14">
        <f t="shared" si="58"/>
        <v>144.71018181818184</v>
      </c>
      <c r="N102" s="14">
        <f t="shared" si="58"/>
        <v>144.71018181818184</v>
      </c>
      <c r="O102" s="14">
        <f t="shared" si="58"/>
        <v>144.71018181818184</v>
      </c>
      <c r="P102" s="14">
        <f t="shared" si="58"/>
        <v>144.71018181818184</v>
      </c>
      <c r="Q102" s="14">
        <f t="shared" si="58"/>
        <v>144.71018181818184</v>
      </c>
      <c r="R102" s="14">
        <f t="shared" si="58"/>
        <v>144.71018181818184</v>
      </c>
      <c r="S102" s="14">
        <f t="shared" si="55"/>
        <v>2122.4160000000002</v>
      </c>
    </row>
    <row r="103" spans="2:19" x14ac:dyDescent="0.2">
      <c r="C103" t="s">
        <v>13</v>
      </c>
      <c r="E103" s="3" t="s">
        <v>54</v>
      </c>
      <c r="F103" s="14">
        <v>4870.9447200000004</v>
      </c>
      <c r="G103" s="14">
        <f>+F103/4</f>
        <v>1217.7361800000001</v>
      </c>
      <c r="H103" s="14">
        <f>(F103-G103)/11</f>
        <v>332.10986727272734</v>
      </c>
      <c r="I103" s="14">
        <f t="shared" ref="I103:R103" si="59">+H103</f>
        <v>332.10986727272734</v>
      </c>
      <c r="J103" s="14">
        <f t="shared" si="59"/>
        <v>332.10986727272734</v>
      </c>
      <c r="K103" s="14">
        <f t="shared" si="59"/>
        <v>332.10986727272734</v>
      </c>
      <c r="L103" s="14">
        <f t="shared" si="59"/>
        <v>332.10986727272734</v>
      </c>
      <c r="M103" s="14">
        <f t="shared" si="59"/>
        <v>332.10986727272734</v>
      </c>
      <c r="N103" s="14">
        <f t="shared" si="59"/>
        <v>332.10986727272734</v>
      </c>
      <c r="O103" s="14">
        <f t="shared" si="59"/>
        <v>332.10986727272734</v>
      </c>
      <c r="P103" s="14">
        <f t="shared" si="59"/>
        <v>332.10986727272734</v>
      </c>
      <c r="Q103" s="14">
        <f t="shared" si="59"/>
        <v>332.10986727272734</v>
      </c>
      <c r="R103" s="14">
        <f t="shared" si="59"/>
        <v>332.10986727272734</v>
      </c>
      <c r="S103" s="14">
        <f t="shared" si="55"/>
        <v>4870.9447200000022</v>
      </c>
    </row>
    <row r="104" spans="2:19" x14ac:dyDescent="0.2">
      <c r="C104" t="s">
        <v>15</v>
      </c>
      <c r="E104" s="3" t="s">
        <v>54</v>
      </c>
      <c r="F104" s="14">
        <v>1443.24288</v>
      </c>
      <c r="G104" s="14">
        <f>+F104/4</f>
        <v>360.81072</v>
      </c>
      <c r="H104" s="14">
        <f>(F104-G104)/11</f>
        <v>98.402923636363639</v>
      </c>
      <c r="I104" s="14">
        <f t="shared" ref="I104:R104" si="60">+H104</f>
        <v>98.402923636363639</v>
      </c>
      <c r="J104" s="14">
        <f t="shared" si="60"/>
        <v>98.402923636363639</v>
      </c>
      <c r="K104" s="14">
        <f t="shared" si="60"/>
        <v>98.402923636363639</v>
      </c>
      <c r="L104" s="14">
        <f t="shared" si="60"/>
        <v>98.402923636363639</v>
      </c>
      <c r="M104" s="14">
        <f t="shared" si="60"/>
        <v>98.402923636363639</v>
      </c>
      <c r="N104" s="14">
        <f t="shared" si="60"/>
        <v>98.402923636363639</v>
      </c>
      <c r="O104" s="14">
        <f t="shared" si="60"/>
        <v>98.402923636363639</v>
      </c>
      <c r="P104" s="14">
        <f t="shared" si="60"/>
        <v>98.402923636363639</v>
      </c>
      <c r="Q104" s="14">
        <f t="shared" si="60"/>
        <v>98.402923636363639</v>
      </c>
      <c r="R104" s="14">
        <f t="shared" si="60"/>
        <v>98.402923636363639</v>
      </c>
      <c r="S104" s="14">
        <f t="shared" si="55"/>
        <v>1443.2428799999996</v>
      </c>
    </row>
    <row r="105" spans="2:19" ht="15" x14ac:dyDescent="0.35">
      <c r="C105" t="s">
        <v>16</v>
      </c>
      <c r="E105" s="3" t="s">
        <v>54</v>
      </c>
      <c r="F105" s="4">
        <v>541.21608000000003</v>
      </c>
      <c r="G105" s="4">
        <f>+F105/4</f>
        <v>135.30402000000001</v>
      </c>
      <c r="H105" s="4">
        <f>(F105-G105)/11</f>
        <v>36.901096363636363</v>
      </c>
      <c r="I105" s="4">
        <f t="shared" ref="I105:R105" si="61">+H105</f>
        <v>36.901096363636363</v>
      </c>
      <c r="J105" s="4">
        <f t="shared" si="61"/>
        <v>36.901096363636363</v>
      </c>
      <c r="K105" s="4">
        <f t="shared" si="61"/>
        <v>36.901096363636363</v>
      </c>
      <c r="L105" s="4">
        <f t="shared" si="61"/>
        <v>36.901096363636363</v>
      </c>
      <c r="M105" s="4">
        <f t="shared" si="61"/>
        <v>36.901096363636363</v>
      </c>
      <c r="N105" s="4">
        <f t="shared" si="61"/>
        <v>36.901096363636363</v>
      </c>
      <c r="O105" s="4">
        <f t="shared" si="61"/>
        <v>36.901096363636363</v>
      </c>
      <c r="P105" s="4">
        <f t="shared" si="61"/>
        <v>36.901096363636363</v>
      </c>
      <c r="Q105" s="4">
        <f t="shared" si="61"/>
        <v>36.901096363636363</v>
      </c>
      <c r="R105" s="4">
        <f t="shared" si="61"/>
        <v>36.901096363636363</v>
      </c>
      <c r="S105" s="4">
        <f t="shared" si="55"/>
        <v>541.21608000000015</v>
      </c>
    </row>
    <row r="106" spans="2:19" ht="15" x14ac:dyDescent="0.35">
      <c r="B106" s="5"/>
      <c r="C106" s="5"/>
      <c r="D106" s="5" t="s">
        <v>31</v>
      </c>
      <c r="E106" s="9"/>
      <c r="F106" s="6">
        <v>25755.518160000003</v>
      </c>
      <c r="G106" s="6">
        <f t="shared" ref="G106:S106" si="62">SUM(G99:G105)</f>
        <v>3642.5964600000002</v>
      </c>
      <c r="H106" s="6">
        <f t="shared" si="62"/>
        <v>2010.265609090909</v>
      </c>
      <c r="I106" s="6">
        <f t="shared" si="62"/>
        <v>2010.265609090909</v>
      </c>
      <c r="J106" s="6">
        <f t="shared" si="62"/>
        <v>2010.265609090909</v>
      </c>
      <c r="K106" s="6">
        <f t="shared" si="62"/>
        <v>2010.265609090909</v>
      </c>
      <c r="L106" s="6">
        <f t="shared" si="62"/>
        <v>2010.265609090909</v>
      </c>
      <c r="M106" s="6">
        <f t="shared" si="62"/>
        <v>2010.265609090909</v>
      </c>
      <c r="N106" s="6">
        <f t="shared" si="62"/>
        <v>2010.265609090909</v>
      </c>
      <c r="O106" s="6">
        <f t="shared" si="62"/>
        <v>2010.265609090909</v>
      </c>
      <c r="P106" s="6">
        <f t="shared" si="62"/>
        <v>2010.265609090909</v>
      </c>
      <c r="Q106" s="6">
        <f t="shared" si="62"/>
        <v>2010.265609090909</v>
      </c>
      <c r="R106" s="6">
        <f t="shared" si="62"/>
        <v>2010.265609090909</v>
      </c>
      <c r="S106" s="6">
        <f t="shared" si="62"/>
        <v>25755.518160000007</v>
      </c>
    </row>
    <row r="107" spans="2:19" ht="15" x14ac:dyDescent="0.35">
      <c r="B107" s="5" t="s">
        <v>32</v>
      </c>
      <c r="C107" s="5"/>
      <c r="D107" s="5"/>
      <c r="E107" s="9"/>
      <c r="F107" s="6">
        <v>191862.82244980801</v>
      </c>
      <c r="G107" s="6">
        <f t="shared" ref="G107:S107" si="63">SUM(G106,G98,G93)</f>
        <v>17484.871817484</v>
      </c>
      <c r="H107" s="6">
        <f t="shared" si="63"/>
        <v>15852.54096657491</v>
      </c>
      <c r="I107" s="6">
        <f t="shared" si="63"/>
        <v>15852.54096657491</v>
      </c>
      <c r="J107" s="6">
        <f t="shared" si="63"/>
        <v>15852.54096657491</v>
      </c>
      <c r="K107" s="6">
        <f t="shared" si="63"/>
        <v>15852.54096657491</v>
      </c>
      <c r="L107" s="6">
        <f t="shared" si="63"/>
        <v>15852.54096657491</v>
      </c>
      <c r="M107" s="6">
        <f t="shared" si="63"/>
        <v>15852.54096657491</v>
      </c>
      <c r="N107" s="6">
        <f t="shared" si="63"/>
        <v>15852.54096657491</v>
      </c>
      <c r="O107" s="6">
        <f t="shared" si="63"/>
        <v>15852.54096657491</v>
      </c>
      <c r="P107" s="6">
        <f t="shared" si="63"/>
        <v>15852.54096657491</v>
      </c>
      <c r="Q107" s="6">
        <f t="shared" si="63"/>
        <v>15852.54096657491</v>
      </c>
      <c r="R107" s="6">
        <f t="shared" si="63"/>
        <v>15852.54096657491</v>
      </c>
      <c r="S107" s="6">
        <f t="shared" si="63"/>
        <v>191862.82244980801</v>
      </c>
    </row>
    <row r="109" spans="2:19" x14ac:dyDescent="0.2">
      <c r="B109" s="5" t="s">
        <v>50</v>
      </c>
    </row>
    <row r="110" spans="2:19" ht="15" x14ac:dyDescent="0.35">
      <c r="B110" s="5"/>
      <c r="C110" t="s">
        <v>33</v>
      </c>
      <c r="F110" s="4">
        <v>97500</v>
      </c>
      <c r="G110" s="4">
        <f>+F110/12</f>
        <v>8125</v>
      </c>
      <c r="H110" s="4">
        <f t="shared" ref="H110:R110" si="64">+G110</f>
        <v>8125</v>
      </c>
      <c r="I110" s="4">
        <f t="shared" si="64"/>
        <v>8125</v>
      </c>
      <c r="J110" s="4">
        <f t="shared" si="64"/>
        <v>8125</v>
      </c>
      <c r="K110" s="4">
        <f t="shared" si="64"/>
        <v>8125</v>
      </c>
      <c r="L110" s="4">
        <f t="shared" si="64"/>
        <v>8125</v>
      </c>
      <c r="M110" s="4">
        <f t="shared" si="64"/>
        <v>8125</v>
      </c>
      <c r="N110" s="4">
        <f t="shared" si="64"/>
        <v>8125</v>
      </c>
      <c r="O110" s="4">
        <f t="shared" si="64"/>
        <v>8125</v>
      </c>
      <c r="P110" s="4">
        <f t="shared" si="64"/>
        <v>8125</v>
      </c>
      <c r="Q110" s="4">
        <f t="shared" si="64"/>
        <v>8125</v>
      </c>
      <c r="R110" s="4">
        <f t="shared" si="64"/>
        <v>8125</v>
      </c>
      <c r="S110" s="4">
        <f>SUM(G110:R110)</f>
        <v>97500</v>
      </c>
    </row>
    <row r="111" spans="2:19" hidden="1" x14ac:dyDescent="0.2">
      <c r="B111" s="5"/>
      <c r="C111" t="s">
        <v>78</v>
      </c>
      <c r="E111" s="3" t="s">
        <v>139</v>
      </c>
      <c r="F111" s="14">
        <v>0</v>
      </c>
      <c r="G111" s="14">
        <f>+F111/4</f>
        <v>0</v>
      </c>
      <c r="H111" s="14">
        <f>+(F111-G111)/11</f>
        <v>0</v>
      </c>
      <c r="I111" s="14">
        <f t="shared" ref="I111:R111" si="65">+H111</f>
        <v>0</v>
      </c>
      <c r="J111" s="14">
        <f t="shared" si="65"/>
        <v>0</v>
      </c>
      <c r="K111" s="14">
        <f t="shared" si="65"/>
        <v>0</v>
      </c>
      <c r="L111" s="14">
        <f t="shared" si="65"/>
        <v>0</v>
      </c>
      <c r="M111" s="14">
        <f t="shared" si="65"/>
        <v>0</v>
      </c>
      <c r="N111" s="14">
        <f t="shared" si="65"/>
        <v>0</v>
      </c>
      <c r="O111" s="14">
        <f t="shared" si="65"/>
        <v>0</v>
      </c>
      <c r="P111" s="14">
        <f t="shared" si="65"/>
        <v>0</v>
      </c>
      <c r="Q111" s="14">
        <f t="shared" si="65"/>
        <v>0</v>
      </c>
      <c r="R111" s="14">
        <f t="shared" si="65"/>
        <v>0</v>
      </c>
      <c r="S111" s="14">
        <f>SUM(G111:R111)</f>
        <v>0</v>
      </c>
    </row>
    <row r="112" spans="2:19" ht="15" hidden="1" x14ac:dyDescent="0.35">
      <c r="B112" s="5"/>
      <c r="C112" t="s">
        <v>79</v>
      </c>
      <c r="E112" s="3" t="s">
        <v>54</v>
      </c>
      <c r="F112" s="4">
        <v>0</v>
      </c>
      <c r="G112" s="4">
        <f>+F112/4</f>
        <v>0</v>
      </c>
      <c r="H112" s="4">
        <f>+(F112-G112)/11</f>
        <v>0</v>
      </c>
      <c r="I112" s="4">
        <f t="shared" ref="I112:R112" si="66">+H112</f>
        <v>0</v>
      </c>
      <c r="J112" s="4">
        <f t="shared" si="66"/>
        <v>0</v>
      </c>
      <c r="K112" s="4">
        <f t="shared" si="66"/>
        <v>0</v>
      </c>
      <c r="L112" s="4">
        <f t="shared" si="66"/>
        <v>0</v>
      </c>
      <c r="M112" s="4">
        <f t="shared" si="66"/>
        <v>0</v>
      </c>
      <c r="N112" s="4">
        <f t="shared" si="66"/>
        <v>0</v>
      </c>
      <c r="O112" s="4">
        <f t="shared" si="66"/>
        <v>0</v>
      </c>
      <c r="P112" s="4">
        <f t="shared" si="66"/>
        <v>0</v>
      </c>
      <c r="Q112" s="4">
        <f t="shared" si="66"/>
        <v>0</v>
      </c>
      <c r="R112" s="4">
        <f t="shared" si="66"/>
        <v>0</v>
      </c>
      <c r="S112" s="4">
        <f>SUM(G112:R112)</f>
        <v>0</v>
      </c>
    </row>
    <row r="113" spans="2:19" ht="15" x14ac:dyDescent="0.35">
      <c r="B113" s="5" t="s">
        <v>77</v>
      </c>
      <c r="C113" s="5"/>
      <c r="D113" s="5"/>
      <c r="E113" s="9"/>
      <c r="F113" s="6">
        <v>97500</v>
      </c>
      <c r="G113" s="6">
        <f t="shared" ref="G113:S113" si="67">SUM(G110:G112)</f>
        <v>8125</v>
      </c>
      <c r="H113" s="6">
        <f t="shared" si="67"/>
        <v>8125</v>
      </c>
      <c r="I113" s="6">
        <f t="shared" si="67"/>
        <v>8125</v>
      </c>
      <c r="J113" s="6">
        <f t="shared" si="67"/>
        <v>8125</v>
      </c>
      <c r="K113" s="6">
        <f t="shared" si="67"/>
        <v>8125</v>
      </c>
      <c r="L113" s="6">
        <f t="shared" si="67"/>
        <v>8125</v>
      </c>
      <c r="M113" s="6">
        <f t="shared" si="67"/>
        <v>8125</v>
      </c>
      <c r="N113" s="6">
        <f t="shared" si="67"/>
        <v>8125</v>
      </c>
      <c r="O113" s="6">
        <f t="shared" si="67"/>
        <v>8125</v>
      </c>
      <c r="P113" s="6">
        <f t="shared" si="67"/>
        <v>8125</v>
      </c>
      <c r="Q113" s="6">
        <f t="shared" si="67"/>
        <v>8125</v>
      </c>
      <c r="R113" s="6">
        <f t="shared" si="67"/>
        <v>8125</v>
      </c>
      <c r="S113" s="6">
        <f t="shared" si="67"/>
        <v>97500</v>
      </c>
    </row>
    <row r="114" spans="2:19" hidden="1" x14ac:dyDescent="0.2"/>
    <row r="115" spans="2:19" hidden="1" x14ac:dyDescent="0.2">
      <c r="B115" s="5" t="s">
        <v>34</v>
      </c>
    </row>
    <row r="116" spans="2:19" hidden="1" x14ac:dyDescent="0.2">
      <c r="C116" t="s">
        <v>46</v>
      </c>
      <c r="E116" s="11" t="s">
        <v>85</v>
      </c>
      <c r="F116" s="14">
        <v>0</v>
      </c>
    </row>
    <row r="117" spans="2:19" ht="15" hidden="1" x14ac:dyDescent="0.35">
      <c r="C117" t="s">
        <v>47</v>
      </c>
      <c r="E117" s="11" t="s">
        <v>86</v>
      </c>
      <c r="F117" s="4">
        <v>0</v>
      </c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</row>
    <row r="118" spans="2:19" ht="15" hidden="1" x14ac:dyDescent="0.35">
      <c r="B118" s="5" t="s">
        <v>48</v>
      </c>
      <c r="C118" s="5"/>
      <c r="D118" s="5"/>
      <c r="E118" s="9"/>
      <c r="F118" s="6">
        <v>0</v>
      </c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</row>
    <row r="119" spans="2:19" ht="15" x14ac:dyDescent="0.35">
      <c r="B119" s="5"/>
      <c r="C119" s="5"/>
      <c r="D119" s="5"/>
      <c r="E119" s="9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</row>
    <row r="120" spans="2:19" x14ac:dyDescent="0.2">
      <c r="B120" s="5" t="s">
        <v>80</v>
      </c>
    </row>
    <row r="121" spans="2:19" ht="15" x14ac:dyDescent="0.35">
      <c r="C121" t="s">
        <v>147</v>
      </c>
      <c r="E121" s="3" t="s">
        <v>135</v>
      </c>
      <c r="F121" s="4">
        <v>18704.427724799996</v>
      </c>
      <c r="G121" s="4">
        <v>0</v>
      </c>
      <c r="H121" s="4">
        <f>+F121/10</f>
        <v>1870.4427724799996</v>
      </c>
      <c r="I121" s="4">
        <f t="shared" ref="I121:Q121" si="68">+H121</f>
        <v>1870.4427724799996</v>
      </c>
      <c r="J121" s="4">
        <f t="shared" si="68"/>
        <v>1870.4427724799996</v>
      </c>
      <c r="K121" s="4">
        <f t="shared" si="68"/>
        <v>1870.4427724799996</v>
      </c>
      <c r="L121" s="4">
        <f t="shared" si="68"/>
        <v>1870.4427724799996</v>
      </c>
      <c r="M121" s="4">
        <f t="shared" si="68"/>
        <v>1870.4427724799996</v>
      </c>
      <c r="N121" s="4">
        <f t="shared" si="68"/>
        <v>1870.4427724799996</v>
      </c>
      <c r="O121" s="4">
        <f t="shared" si="68"/>
        <v>1870.4427724799996</v>
      </c>
      <c r="P121" s="4">
        <f t="shared" si="68"/>
        <v>1870.4427724799996</v>
      </c>
      <c r="Q121" s="4">
        <f t="shared" si="68"/>
        <v>1870.4427724799996</v>
      </c>
      <c r="R121" s="4">
        <v>0</v>
      </c>
      <c r="S121" s="4">
        <f>SUM(G121:R121)</f>
        <v>18704.427724799996</v>
      </c>
    </row>
    <row r="122" spans="2:19" ht="15" x14ac:dyDescent="0.35">
      <c r="D122" s="5" t="s">
        <v>148</v>
      </c>
      <c r="E122" s="9"/>
      <c r="F122" s="6">
        <v>18704.427724799996</v>
      </c>
      <c r="G122" s="6">
        <f t="shared" ref="G122:S122" si="69">SUM(G121)</f>
        <v>0</v>
      </c>
      <c r="H122" s="6">
        <f t="shared" si="69"/>
        <v>1870.4427724799996</v>
      </c>
      <c r="I122" s="6">
        <f t="shared" si="69"/>
        <v>1870.4427724799996</v>
      </c>
      <c r="J122" s="6">
        <f t="shared" si="69"/>
        <v>1870.4427724799996</v>
      </c>
      <c r="K122" s="6">
        <f t="shared" si="69"/>
        <v>1870.4427724799996</v>
      </c>
      <c r="L122" s="6">
        <f t="shared" si="69"/>
        <v>1870.4427724799996</v>
      </c>
      <c r="M122" s="6">
        <f t="shared" si="69"/>
        <v>1870.4427724799996</v>
      </c>
      <c r="N122" s="6">
        <f t="shared" si="69"/>
        <v>1870.4427724799996</v>
      </c>
      <c r="O122" s="6">
        <f t="shared" si="69"/>
        <v>1870.4427724799996</v>
      </c>
      <c r="P122" s="6">
        <f t="shared" si="69"/>
        <v>1870.4427724799996</v>
      </c>
      <c r="Q122" s="6">
        <f t="shared" si="69"/>
        <v>1870.4427724799996</v>
      </c>
      <c r="R122" s="6">
        <f t="shared" si="69"/>
        <v>0</v>
      </c>
      <c r="S122" s="6">
        <f t="shared" si="69"/>
        <v>18704.427724799996</v>
      </c>
    </row>
    <row r="123" spans="2:19" x14ac:dyDescent="0.2">
      <c r="C123" t="s">
        <v>7</v>
      </c>
      <c r="E123" s="13">
        <v>1.4999999999999999E-2</v>
      </c>
      <c r="F123" s="14">
        <v>280.56641587199994</v>
      </c>
      <c r="G123" s="14">
        <f t="shared" ref="G123:R126" si="70">+$F123/$F$122*G$122</f>
        <v>0</v>
      </c>
      <c r="H123" s="14">
        <f t="shared" si="70"/>
        <v>28.056641587199994</v>
      </c>
      <c r="I123" s="14">
        <f t="shared" si="70"/>
        <v>28.056641587199994</v>
      </c>
      <c r="J123" s="14">
        <f t="shared" si="70"/>
        <v>28.056641587199994</v>
      </c>
      <c r="K123" s="14">
        <f t="shared" si="70"/>
        <v>28.056641587199994</v>
      </c>
      <c r="L123" s="14">
        <f t="shared" si="70"/>
        <v>28.056641587199994</v>
      </c>
      <c r="M123" s="14">
        <f t="shared" si="70"/>
        <v>28.056641587199994</v>
      </c>
      <c r="N123" s="14">
        <f t="shared" si="70"/>
        <v>28.056641587199994</v>
      </c>
      <c r="O123" s="14">
        <f t="shared" si="70"/>
        <v>28.056641587199994</v>
      </c>
      <c r="P123" s="14">
        <f t="shared" si="70"/>
        <v>28.056641587199994</v>
      </c>
      <c r="Q123" s="14">
        <f t="shared" si="70"/>
        <v>28.056641587199994</v>
      </c>
      <c r="R123" s="14">
        <f t="shared" si="70"/>
        <v>0</v>
      </c>
      <c r="S123" s="14">
        <f>SUM(G123:R123)</f>
        <v>280.56641587199999</v>
      </c>
    </row>
    <row r="124" spans="2:19" x14ac:dyDescent="0.2">
      <c r="C124" t="s">
        <v>8</v>
      </c>
      <c r="E124" s="3" t="s">
        <v>52</v>
      </c>
      <c r="F124" s="14">
        <v>1808.8887209471998</v>
      </c>
      <c r="G124" s="14">
        <f t="shared" si="70"/>
        <v>0</v>
      </c>
      <c r="H124" s="14">
        <f t="shared" si="70"/>
        <v>180.88887209471997</v>
      </c>
      <c r="I124" s="14">
        <f t="shared" si="70"/>
        <v>180.88887209471997</v>
      </c>
      <c r="J124" s="14">
        <f t="shared" si="70"/>
        <v>180.88887209471997</v>
      </c>
      <c r="K124" s="14">
        <f t="shared" si="70"/>
        <v>180.88887209471997</v>
      </c>
      <c r="L124" s="14">
        <f t="shared" si="70"/>
        <v>180.88887209471997</v>
      </c>
      <c r="M124" s="14">
        <f t="shared" si="70"/>
        <v>180.88887209471997</v>
      </c>
      <c r="N124" s="14">
        <f t="shared" si="70"/>
        <v>180.88887209471997</v>
      </c>
      <c r="O124" s="14">
        <f t="shared" si="70"/>
        <v>180.88887209471997</v>
      </c>
      <c r="P124" s="14">
        <f t="shared" si="70"/>
        <v>180.88887209471997</v>
      </c>
      <c r="Q124" s="14">
        <f t="shared" si="70"/>
        <v>180.88887209471997</v>
      </c>
      <c r="R124" s="14">
        <f t="shared" si="70"/>
        <v>0</v>
      </c>
      <c r="S124" s="14">
        <f>SUM(G124:R124)</f>
        <v>1808.8887209471998</v>
      </c>
    </row>
    <row r="125" spans="2:19" hidden="1" x14ac:dyDescent="0.2">
      <c r="C125" t="s">
        <v>9</v>
      </c>
      <c r="E125" s="3" t="str">
        <f>CONCATENATE(ins," per month per employee")</f>
        <v>266.666666666666 per month per employee</v>
      </c>
      <c r="F125" s="14">
        <v>0</v>
      </c>
      <c r="G125" s="14">
        <f t="shared" si="70"/>
        <v>0</v>
      </c>
      <c r="H125" s="14">
        <f t="shared" si="70"/>
        <v>0</v>
      </c>
      <c r="I125" s="14">
        <f t="shared" si="70"/>
        <v>0</v>
      </c>
      <c r="J125" s="14">
        <f t="shared" si="70"/>
        <v>0</v>
      </c>
      <c r="K125" s="14">
        <f t="shared" si="70"/>
        <v>0</v>
      </c>
      <c r="L125" s="14">
        <f t="shared" si="70"/>
        <v>0</v>
      </c>
      <c r="M125" s="14">
        <f t="shared" si="70"/>
        <v>0</v>
      </c>
      <c r="N125" s="14">
        <f t="shared" si="70"/>
        <v>0</v>
      </c>
      <c r="O125" s="14">
        <f t="shared" si="70"/>
        <v>0</v>
      </c>
      <c r="P125" s="14">
        <f t="shared" si="70"/>
        <v>0</v>
      </c>
      <c r="Q125" s="14">
        <f t="shared" si="70"/>
        <v>0</v>
      </c>
      <c r="R125" s="14">
        <f t="shared" si="70"/>
        <v>0</v>
      </c>
      <c r="S125" s="14">
        <f>SUM(G125:R125)</f>
        <v>0</v>
      </c>
    </row>
    <row r="126" spans="2:19" ht="15" x14ac:dyDescent="0.35">
      <c r="C126" t="s">
        <v>10</v>
      </c>
      <c r="E126" s="11" t="s">
        <v>53</v>
      </c>
      <c r="F126" s="4">
        <v>187.04427724799996</v>
      </c>
      <c r="G126" s="4">
        <f t="shared" si="70"/>
        <v>0</v>
      </c>
      <c r="H126" s="4">
        <f t="shared" si="70"/>
        <v>18.704427724799995</v>
      </c>
      <c r="I126" s="4">
        <f t="shared" si="70"/>
        <v>18.704427724799995</v>
      </c>
      <c r="J126" s="4">
        <f t="shared" si="70"/>
        <v>18.704427724799995</v>
      </c>
      <c r="K126" s="4">
        <f t="shared" si="70"/>
        <v>18.704427724799995</v>
      </c>
      <c r="L126" s="4">
        <f t="shared" si="70"/>
        <v>18.704427724799995</v>
      </c>
      <c r="M126" s="4">
        <f t="shared" si="70"/>
        <v>18.704427724799995</v>
      </c>
      <c r="N126" s="4">
        <f t="shared" si="70"/>
        <v>18.704427724799995</v>
      </c>
      <c r="O126" s="4">
        <f t="shared" si="70"/>
        <v>18.704427724799995</v>
      </c>
      <c r="P126" s="4">
        <f t="shared" si="70"/>
        <v>18.704427724799995</v>
      </c>
      <c r="Q126" s="4">
        <f t="shared" si="70"/>
        <v>18.704427724799995</v>
      </c>
      <c r="R126" s="4">
        <f t="shared" si="70"/>
        <v>0</v>
      </c>
      <c r="S126" s="4">
        <f>SUM(G126:R126)</f>
        <v>187.04427724799993</v>
      </c>
    </row>
    <row r="127" spans="2:19" ht="15" x14ac:dyDescent="0.35">
      <c r="D127" s="5" t="s">
        <v>149</v>
      </c>
      <c r="E127" s="9"/>
      <c r="F127" s="6">
        <v>2276.4994140671997</v>
      </c>
      <c r="G127" s="6">
        <f t="shared" ref="G127:S127" si="71">SUM(G123:G126)</f>
        <v>0</v>
      </c>
      <c r="H127" s="6">
        <f t="shared" si="71"/>
        <v>227.64994140671996</v>
      </c>
      <c r="I127" s="6">
        <f t="shared" si="71"/>
        <v>227.64994140671996</v>
      </c>
      <c r="J127" s="6">
        <f t="shared" si="71"/>
        <v>227.64994140671996</v>
      </c>
      <c r="K127" s="6">
        <f t="shared" si="71"/>
        <v>227.64994140671996</v>
      </c>
      <c r="L127" s="6">
        <f t="shared" si="71"/>
        <v>227.64994140671996</v>
      </c>
      <c r="M127" s="6">
        <f t="shared" si="71"/>
        <v>227.64994140671996</v>
      </c>
      <c r="N127" s="6">
        <f t="shared" si="71"/>
        <v>227.64994140671996</v>
      </c>
      <c r="O127" s="6">
        <f t="shared" si="71"/>
        <v>227.64994140671996</v>
      </c>
      <c r="P127" s="6">
        <f t="shared" si="71"/>
        <v>227.64994140671996</v>
      </c>
      <c r="Q127" s="6">
        <f t="shared" si="71"/>
        <v>227.64994140671996</v>
      </c>
      <c r="R127" s="6">
        <f t="shared" si="71"/>
        <v>0</v>
      </c>
      <c r="S127" s="6">
        <f t="shared" si="71"/>
        <v>2276.4994140671997</v>
      </c>
    </row>
    <row r="128" spans="2:19" ht="15" x14ac:dyDescent="0.35">
      <c r="B128" s="5"/>
      <c r="C128" t="s">
        <v>11</v>
      </c>
      <c r="F128" s="4">
        <v>51437.176243200003</v>
      </c>
      <c r="G128" s="4">
        <f>1.1*180*G7*0.8</f>
        <v>0</v>
      </c>
      <c r="H128" s="4">
        <f>+F128/10</f>
        <v>5143.7176243200001</v>
      </c>
      <c r="I128" s="4">
        <f t="shared" ref="I128:Q128" si="72">+H128</f>
        <v>5143.7176243200001</v>
      </c>
      <c r="J128" s="4">
        <f t="shared" si="72"/>
        <v>5143.7176243200001</v>
      </c>
      <c r="K128" s="4">
        <f t="shared" si="72"/>
        <v>5143.7176243200001</v>
      </c>
      <c r="L128" s="4">
        <f t="shared" si="72"/>
        <v>5143.7176243200001</v>
      </c>
      <c r="M128" s="4">
        <f t="shared" si="72"/>
        <v>5143.7176243200001</v>
      </c>
      <c r="N128" s="4">
        <f t="shared" si="72"/>
        <v>5143.7176243200001</v>
      </c>
      <c r="O128" s="4">
        <f t="shared" si="72"/>
        <v>5143.7176243200001</v>
      </c>
      <c r="P128" s="4">
        <f t="shared" si="72"/>
        <v>5143.7176243200001</v>
      </c>
      <c r="Q128" s="4">
        <f t="shared" si="72"/>
        <v>5143.7176243200001</v>
      </c>
      <c r="R128" s="4">
        <v>0</v>
      </c>
      <c r="S128" s="4">
        <f>SUM(G128:R128)</f>
        <v>51437.176243200003</v>
      </c>
    </row>
    <row r="129" spans="2:19" ht="15" x14ac:dyDescent="0.35">
      <c r="D129" s="5" t="s">
        <v>150</v>
      </c>
      <c r="E129" s="9"/>
      <c r="F129" s="6">
        <v>51437.176243200003</v>
      </c>
      <c r="G129" s="6">
        <f t="shared" ref="G129:S129" si="73">SUM(G128)</f>
        <v>0</v>
      </c>
      <c r="H129" s="6">
        <f t="shared" si="73"/>
        <v>5143.7176243200001</v>
      </c>
      <c r="I129" s="6">
        <f t="shared" si="73"/>
        <v>5143.7176243200001</v>
      </c>
      <c r="J129" s="6">
        <f t="shared" si="73"/>
        <v>5143.7176243200001</v>
      </c>
      <c r="K129" s="6">
        <f t="shared" si="73"/>
        <v>5143.7176243200001</v>
      </c>
      <c r="L129" s="6">
        <f t="shared" si="73"/>
        <v>5143.7176243200001</v>
      </c>
      <c r="M129" s="6">
        <f t="shared" si="73"/>
        <v>5143.7176243200001</v>
      </c>
      <c r="N129" s="6">
        <f t="shared" si="73"/>
        <v>5143.7176243200001</v>
      </c>
      <c r="O129" s="6">
        <f t="shared" si="73"/>
        <v>5143.7176243200001</v>
      </c>
      <c r="P129" s="6">
        <f t="shared" si="73"/>
        <v>5143.7176243200001</v>
      </c>
      <c r="Q129" s="6">
        <f t="shared" si="73"/>
        <v>5143.7176243200001</v>
      </c>
      <c r="R129" s="6">
        <f t="shared" si="73"/>
        <v>0</v>
      </c>
      <c r="S129" s="6">
        <f t="shared" si="73"/>
        <v>51437.176243200003</v>
      </c>
    </row>
    <row r="130" spans="2:19" ht="15" x14ac:dyDescent="0.35">
      <c r="B130" s="5" t="s">
        <v>151</v>
      </c>
      <c r="C130" s="5"/>
      <c r="D130" s="5"/>
      <c r="E130" s="3" t="s">
        <v>141</v>
      </c>
      <c r="F130" s="6">
        <v>72418.103382067202</v>
      </c>
      <c r="G130" s="6">
        <f t="shared" ref="G130:S130" si="74">+G122+G127+G129</f>
        <v>0</v>
      </c>
      <c r="H130" s="6">
        <f t="shared" si="74"/>
        <v>7241.8103382067202</v>
      </c>
      <c r="I130" s="6">
        <f t="shared" si="74"/>
        <v>7241.8103382067202</v>
      </c>
      <c r="J130" s="6">
        <f t="shared" si="74"/>
        <v>7241.8103382067202</v>
      </c>
      <c r="K130" s="6">
        <f t="shared" si="74"/>
        <v>7241.8103382067202</v>
      </c>
      <c r="L130" s="6">
        <f t="shared" si="74"/>
        <v>7241.8103382067202</v>
      </c>
      <c r="M130" s="6">
        <f t="shared" si="74"/>
        <v>7241.8103382067202</v>
      </c>
      <c r="N130" s="6">
        <f t="shared" si="74"/>
        <v>7241.8103382067202</v>
      </c>
      <c r="O130" s="6">
        <f t="shared" si="74"/>
        <v>7241.8103382067202</v>
      </c>
      <c r="P130" s="6">
        <f t="shared" si="74"/>
        <v>7241.8103382067202</v>
      </c>
      <c r="Q130" s="6">
        <f t="shared" si="74"/>
        <v>7241.8103382067202</v>
      </c>
      <c r="R130" s="6">
        <f t="shared" si="74"/>
        <v>0</v>
      </c>
      <c r="S130" s="6">
        <f t="shared" si="74"/>
        <v>72418.103382067202</v>
      </c>
    </row>
    <row r="132" spans="2:19" x14ac:dyDescent="0.2">
      <c r="B132" s="5" t="s">
        <v>35</v>
      </c>
    </row>
    <row r="133" spans="2:19" ht="15" x14ac:dyDescent="0.35">
      <c r="C133" s="5" t="s">
        <v>11</v>
      </c>
      <c r="D133" s="5"/>
      <c r="E133" s="3" t="s">
        <v>108</v>
      </c>
      <c r="F133" s="6">
        <v>98027.762489999994</v>
      </c>
      <c r="G133" s="6">
        <v>0</v>
      </c>
      <c r="H133" s="6">
        <f>+F133/10</f>
        <v>9802.7762489999986</v>
      </c>
      <c r="I133" s="6">
        <f t="shared" ref="I133:Q133" si="75">+H133</f>
        <v>9802.7762489999986</v>
      </c>
      <c r="J133" s="6">
        <f t="shared" si="75"/>
        <v>9802.7762489999986</v>
      </c>
      <c r="K133" s="6">
        <f t="shared" si="75"/>
        <v>9802.7762489999986</v>
      </c>
      <c r="L133" s="6">
        <f t="shared" si="75"/>
        <v>9802.7762489999986</v>
      </c>
      <c r="M133" s="6">
        <f t="shared" si="75"/>
        <v>9802.7762489999986</v>
      </c>
      <c r="N133" s="6">
        <f t="shared" si="75"/>
        <v>9802.7762489999986</v>
      </c>
      <c r="O133" s="6">
        <f t="shared" si="75"/>
        <v>9802.7762489999986</v>
      </c>
      <c r="P133" s="6">
        <f t="shared" si="75"/>
        <v>9802.7762489999986</v>
      </c>
      <c r="Q133" s="6">
        <f t="shared" si="75"/>
        <v>9802.7762489999986</v>
      </c>
      <c r="R133" s="6">
        <v>0</v>
      </c>
      <c r="S133" s="6">
        <f>SUM(G133:R133)</f>
        <v>98027.762490000008</v>
      </c>
    </row>
    <row r="135" spans="2:19" x14ac:dyDescent="0.2">
      <c r="B135" s="5" t="s">
        <v>36</v>
      </c>
    </row>
    <row r="136" spans="2:19" ht="15" x14ac:dyDescent="0.35">
      <c r="C136" t="s">
        <v>152</v>
      </c>
      <c r="E136" s="3" t="s">
        <v>135</v>
      </c>
      <c r="F136" s="4">
        <v>37885.125599999999</v>
      </c>
      <c r="G136" s="4">
        <f>+F136/12</f>
        <v>3157.0938000000001</v>
      </c>
      <c r="H136" s="4">
        <f t="shared" ref="H136:R136" si="76">+G136</f>
        <v>3157.0938000000001</v>
      </c>
      <c r="I136" s="4">
        <f t="shared" si="76"/>
        <v>3157.0938000000001</v>
      </c>
      <c r="J136" s="4">
        <f t="shared" si="76"/>
        <v>3157.0938000000001</v>
      </c>
      <c r="K136" s="4">
        <f t="shared" si="76"/>
        <v>3157.0938000000001</v>
      </c>
      <c r="L136" s="4">
        <f t="shared" si="76"/>
        <v>3157.0938000000001</v>
      </c>
      <c r="M136" s="4">
        <f t="shared" si="76"/>
        <v>3157.0938000000001</v>
      </c>
      <c r="N136" s="4">
        <f t="shared" si="76"/>
        <v>3157.0938000000001</v>
      </c>
      <c r="O136" s="4">
        <f t="shared" si="76"/>
        <v>3157.0938000000001</v>
      </c>
      <c r="P136" s="4">
        <f t="shared" si="76"/>
        <v>3157.0938000000001</v>
      </c>
      <c r="Q136" s="4">
        <f t="shared" si="76"/>
        <v>3157.0938000000001</v>
      </c>
      <c r="R136" s="4">
        <f t="shared" si="76"/>
        <v>3157.0938000000001</v>
      </c>
      <c r="S136" s="4">
        <f>SUM(G136:R136)</f>
        <v>37885.125599999999</v>
      </c>
    </row>
    <row r="137" spans="2:19" ht="15" x14ac:dyDescent="0.35">
      <c r="D137" s="5" t="s">
        <v>153</v>
      </c>
      <c r="E137" s="9"/>
      <c r="F137" s="6">
        <v>37885.125599999999</v>
      </c>
      <c r="G137" s="6">
        <f t="shared" ref="G137:S137" si="77">SUM(G136)</f>
        <v>3157.0938000000001</v>
      </c>
      <c r="H137" s="6">
        <f t="shared" si="77"/>
        <v>3157.0938000000001</v>
      </c>
      <c r="I137" s="6">
        <f t="shared" si="77"/>
        <v>3157.0938000000001</v>
      </c>
      <c r="J137" s="6">
        <f t="shared" si="77"/>
        <v>3157.0938000000001</v>
      </c>
      <c r="K137" s="6">
        <f t="shared" si="77"/>
        <v>3157.0938000000001</v>
      </c>
      <c r="L137" s="6">
        <f t="shared" si="77"/>
        <v>3157.0938000000001</v>
      </c>
      <c r="M137" s="6">
        <f t="shared" si="77"/>
        <v>3157.0938000000001</v>
      </c>
      <c r="N137" s="6">
        <f t="shared" si="77"/>
        <v>3157.0938000000001</v>
      </c>
      <c r="O137" s="6">
        <f t="shared" si="77"/>
        <v>3157.0938000000001</v>
      </c>
      <c r="P137" s="6">
        <f t="shared" si="77"/>
        <v>3157.0938000000001</v>
      </c>
      <c r="Q137" s="6">
        <f t="shared" si="77"/>
        <v>3157.0938000000001</v>
      </c>
      <c r="R137" s="6">
        <f t="shared" si="77"/>
        <v>3157.0938000000001</v>
      </c>
      <c r="S137" s="6">
        <f t="shared" si="77"/>
        <v>37885.125599999999</v>
      </c>
    </row>
    <row r="138" spans="2:19" x14ac:dyDescent="0.2">
      <c r="C138" t="s">
        <v>7</v>
      </c>
      <c r="E138" s="13">
        <v>1.4999999999999999E-2</v>
      </c>
      <c r="F138" s="14">
        <v>568.276884</v>
      </c>
      <c r="G138" s="14">
        <f t="shared" ref="G138:R141" si="78">+$F138/$F$137*G$137</f>
        <v>47.356406999999997</v>
      </c>
      <c r="H138" s="14">
        <f t="shared" si="78"/>
        <v>47.356406999999997</v>
      </c>
      <c r="I138" s="14">
        <f t="shared" si="78"/>
        <v>47.356406999999997</v>
      </c>
      <c r="J138" s="14">
        <f t="shared" si="78"/>
        <v>47.356406999999997</v>
      </c>
      <c r="K138" s="14">
        <f t="shared" si="78"/>
        <v>47.356406999999997</v>
      </c>
      <c r="L138" s="14">
        <f t="shared" si="78"/>
        <v>47.356406999999997</v>
      </c>
      <c r="M138" s="14">
        <f t="shared" si="78"/>
        <v>47.356406999999997</v>
      </c>
      <c r="N138" s="14">
        <f t="shared" si="78"/>
        <v>47.356406999999997</v>
      </c>
      <c r="O138" s="14">
        <f t="shared" si="78"/>
        <v>47.356406999999997</v>
      </c>
      <c r="P138" s="14">
        <f t="shared" si="78"/>
        <v>47.356406999999997</v>
      </c>
      <c r="Q138" s="14">
        <f t="shared" si="78"/>
        <v>47.356406999999997</v>
      </c>
      <c r="R138" s="14">
        <f t="shared" si="78"/>
        <v>47.356406999999997</v>
      </c>
      <c r="S138" s="14">
        <f>SUM(G138:R138)</f>
        <v>568.276884</v>
      </c>
    </row>
    <row r="139" spans="2:19" x14ac:dyDescent="0.2">
      <c r="C139" t="s">
        <v>8</v>
      </c>
      <c r="E139" s="3" t="s">
        <v>52</v>
      </c>
      <c r="F139" s="14">
        <v>3276.2121084</v>
      </c>
      <c r="G139" s="14">
        <f t="shared" si="78"/>
        <v>273.01767570000004</v>
      </c>
      <c r="H139" s="14">
        <f t="shared" si="78"/>
        <v>273.01767570000004</v>
      </c>
      <c r="I139" s="14">
        <f t="shared" si="78"/>
        <v>273.01767570000004</v>
      </c>
      <c r="J139" s="14">
        <f t="shared" si="78"/>
        <v>273.01767570000004</v>
      </c>
      <c r="K139" s="14">
        <f t="shared" si="78"/>
        <v>273.01767570000004</v>
      </c>
      <c r="L139" s="14">
        <f t="shared" si="78"/>
        <v>273.01767570000004</v>
      </c>
      <c r="M139" s="14">
        <f t="shared" si="78"/>
        <v>273.01767570000004</v>
      </c>
      <c r="N139" s="14">
        <f t="shared" si="78"/>
        <v>273.01767570000004</v>
      </c>
      <c r="O139" s="14">
        <f t="shared" si="78"/>
        <v>273.01767570000004</v>
      </c>
      <c r="P139" s="14">
        <f t="shared" si="78"/>
        <v>273.01767570000004</v>
      </c>
      <c r="Q139" s="14">
        <f t="shared" si="78"/>
        <v>273.01767570000004</v>
      </c>
      <c r="R139" s="14">
        <f t="shared" si="78"/>
        <v>273.01767570000004</v>
      </c>
      <c r="S139" s="14">
        <f>SUM(G139:R139)</f>
        <v>3276.2121083999996</v>
      </c>
    </row>
    <row r="140" spans="2:19" x14ac:dyDescent="0.2">
      <c r="C140" t="s">
        <v>9</v>
      </c>
      <c r="E140" s="3" t="str">
        <f>CONCATENATE(ins," per month per employee")</f>
        <v>266.666666666666 per month per employee</v>
      </c>
      <c r="F140" s="14">
        <v>3247.29648</v>
      </c>
      <c r="G140" s="14">
        <f t="shared" si="78"/>
        <v>270.60804000000002</v>
      </c>
      <c r="H140" s="14">
        <f t="shared" si="78"/>
        <v>270.60804000000002</v>
      </c>
      <c r="I140" s="14">
        <f t="shared" si="78"/>
        <v>270.60804000000002</v>
      </c>
      <c r="J140" s="14">
        <f t="shared" si="78"/>
        <v>270.60804000000002</v>
      </c>
      <c r="K140" s="14">
        <f t="shared" si="78"/>
        <v>270.60804000000002</v>
      </c>
      <c r="L140" s="14">
        <f t="shared" si="78"/>
        <v>270.60804000000002</v>
      </c>
      <c r="M140" s="14">
        <f t="shared" si="78"/>
        <v>270.60804000000002</v>
      </c>
      <c r="N140" s="14">
        <f t="shared" si="78"/>
        <v>270.60804000000002</v>
      </c>
      <c r="O140" s="14">
        <f t="shared" si="78"/>
        <v>270.60804000000002</v>
      </c>
      <c r="P140" s="14">
        <f t="shared" si="78"/>
        <v>270.60804000000002</v>
      </c>
      <c r="Q140" s="14">
        <f t="shared" si="78"/>
        <v>270.60804000000002</v>
      </c>
      <c r="R140" s="14">
        <f t="shared" si="78"/>
        <v>270.60804000000002</v>
      </c>
      <c r="S140" s="14">
        <f>SUM(G140:R140)</f>
        <v>3247.2964800000004</v>
      </c>
    </row>
    <row r="141" spans="2:19" ht="15" x14ac:dyDescent="0.35">
      <c r="C141" t="s">
        <v>10</v>
      </c>
      <c r="E141" s="11" t="s">
        <v>53</v>
      </c>
      <c r="F141" s="4">
        <v>378.85125599999998</v>
      </c>
      <c r="G141" s="4">
        <f t="shared" si="78"/>
        <v>31.570938000000002</v>
      </c>
      <c r="H141" s="4">
        <f t="shared" si="78"/>
        <v>31.570938000000002</v>
      </c>
      <c r="I141" s="4">
        <f t="shared" si="78"/>
        <v>31.570938000000002</v>
      </c>
      <c r="J141" s="4">
        <f t="shared" si="78"/>
        <v>31.570938000000002</v>
      </c>
      <c r="K141" s="4">
        <f t="shared" si="78"/>
        <v>31.570938000000002</v>
      </c>
      <c r="L141" s="4">
        <f t="shared" si="78"/>
        <v>31.570938000000002</v>
      </c>
      <c r="M141" s="4">
        <f t="shared" si="78"/>
        <v>31.570938000000002</v>
      </c>
      <c r="N141" s="4">
        <f t="shared" si="78"/>
        <v>31.570938000000002</v>
      </c>
      <c r="O141" s="4">
        <f t="shared" si="78"/>
        <v>31.570938000000002</v>
      </c>
      <c r="P141" s="4">
        <f t="shared" si="78"/>
        <v>31.570938000000002</v>
      </c>
      <c r="Q141" s="4">
        <f t="shared" si="78"/>
        <v>31.570938000000002</v>
      </c>
      <c r="R141" s="4">
        <f t="shared" si="78"/>
        <v>31.570938000000002</v>
      </c>
      <c r="S141" s="4">
        <f>SUM(G141:R141)</f>
        <v>378.85125600000009</v>
      </c>
    </row>
    <row r="142" spans="2:19" ht="15" x14ac:dyDescent="0.35">
      <c r="D142" s="5" t="s">
        <v>154</v>
      </c>
      <c r="E142" s="9"/>
      <c r="F142" s="6">
        <v>7470.6367283999998</v>
      </c>
      <c r="G142" s="6">
        <f t="shared" ref="G142:S142" si="79">SUM(G138:G141)</f>
        <v>622.55306069999995</v>
      </c>
      <c r="H142" s="6">
        <f t="shared" si="79"/>
        <v>622.55306069999995</v>
      </c>
      <c r="I142" s="6">
        <f t="shared" si="79"/>
        <v>622.55306069999995</v>
      </c>
      <c r="J142" s="6">
        <f t="shared" si="79"/>
        <v>622.55306069999995</v>
      </c>
      <c r="K142" s="6">
        <f t="shared" si="79"/>
        <v>622.55306069999995</v>
      </c>
      <c r="L142" s="6">
        <f t="shared" si="79"/>
        <v>622.55306069999995</v>
      </c>
      <c r="M142" s="6">
        <f t="shared" si="79"/>
        <v>622.55306069999995</v>
      </c>
      <c r="N142" s="6">
        <f t="shared" si="79"/>
        <v>622.55306069999995</v>
      </c>
      <c r="O142" s="6">
        <f t="shared" si="79"/>
        <v>622.55306069999995</v>
      </c>
      <c r="P142" s="6">
        <f t="shared" si="79"/>
        <v>622.55306069999995</v>
      </c>
      <c r="Q142" s="6">
        <f t="shared" si="79"/>
        <v>622.55306069999995</v>
      </c>
      <c r="R142" s="6">
        <f t="shared" si="79"/>
        <v>622.55306069999995</v>
      </c>
      <c r="S142" s="6">
        <f t="shared" si="79"/>
        <v>7470.6367283999998</v>
      </c>
    </row>
    <row r="143" spans="2:19" x14ac:dyDescent="0.2">
      <c r="C143" t="s">
        <v>11</v>
      </c>
      <c r="F143" s="14">
        <v>1298.9185920000002</v>
      </c>
      <c r="G143" s="14">
        <f>+F143/12</f>
        <v>108.24321600000002</v>
      </c>
      <c r="H143" s="14">
        <f t="shared" ref="H143:R143" si="80">+G143</f>
        <v>108.24321600000002</v>
      </c>
      <c r="I143" s="14">
        <f t="shared" si="80"/>
        <v>108.24321600000002</v>
      </c>
      <c r="J143" s="14">
        <f t="shared" si="80"/>
        <v>108.24321600000002</v>
      </c>
      <c r="K143" s="14">
        <f t="shared" si="80"/>
        <v>108.24321600000002</v>
      </c>
      <c r="L143" s="14">
        <f t="shared" si="80"/>
        <v>108.24321600000002</v>
      </c>
      <c r="M143" s="14">
        <f t="shared" si="80"/>
        <v>108.24321600000002</v>
      </c>
      <c r="N143" s="14">
        <f t="shared" si="80"/>
        <v>108.24321600000002</v>
      </c>
      <c r="O143" s="14">
        <f t="shared" si="80"/>
        <v>108.24321600000002</v>
      </c>
      <c r="P143" s="14">
        <f t="shared" si="80"/>
        <v>108.24321600000002</v>
      </c>
      <c r="Q143" s="14">
        <f t="shared" si="80"/>
        <v>108.24321600000002</v>
      </c>
      <c r="R143" s="14">
        <f t="shared" si="80"/>
        <v>108.24321600000002</v>
      </c>
      <c r="S143" s="14">
        <f t="shared" ref="S143:S148" si="81">SUM(G143:R143)</f>
        <v>1298.9185920000007</v>
      </c>
    </row>
    <row r="144" spans="2:19" x14ac:dyDescent="0.2">
      <c r="C144" t="s">
        <v>21</v>
      </c>
      <c r="F144" s="14">
        <v>3247.2964800000004</v>
      </c>
      <c r="G144" s="14">
        <f>+F144</f>
        <v>3247.2964800000004</v>
      </c>
      <c r="H144" s="14">
        <v>0</v>
      </c>
      <c r="I144" s="14">
        <f t="shared" ref="I144:R144" si="82">+H144</f>
        <v>0</v>
      </c>
      <c r="J144" s="14">
        <f t="shared" si="82"/>
        <v>0</v>
      </c>
      <c r="K144" s="14">
        <f t="shared" si="82"/>
        <v>0</v>
      </c>
      <c r="L144" s="14">
        <f t="shared" si="82"/>
        <v>0</v>
      </c>
      <c r="M144" s="14">
        <f t="shared" si="82"/>
        <v>0</v>
      </c>
      <c r="N144" s="14">
        <f t="shared" si="82"/>
        <v>0</v>
      </c>
      <c r="O144" s="14">
        <f t="shared" si="82"/>
        <v>0</v>
      </c>
      <c r="P144" s="14">
        <f t="shared" si="82"/>
        <v>0</v>
      </c>
      <c r="Q144" s="14">
        <f t="shared" si="82"/>
        <v>0</v>
      </c>
      <c r="R144" s="14">
        <f t="shared" si="82"/>
        <v>0</v>
      </c>
      <c r="S144" s="14">
        <f t="shared" si="81"/>
        <v>3247.2964800000004</v>
      </c>
    </row>
    <row r="145" spans="1:19" x14ac:dyDescent="0.2">
      <c r="C145" t="s">
        <v>37</v>
      </c>
      <c r="F145" s="14">
        <v>5195.6743680000009</v>
      </c>
      <c r="G145" s="14">
        <f>+F145/12</f>
        <v>432.97286400000007</v>
      </c>
      <c r="H145" s="14">
        <f>+G145</f>
        <v>432.97286400000007</v>
      </c>
      <c r="I145" s="14">
        <f t="shared" ref="I145:R145" si="83">+H145</f>
        <v>432.97286400000007</v>
      </c>
      <c r="J145" s="14">
        <f t="shared" si="83"/>
        <v>432.97286400000007</v>
      </c>
      <c r="K145" s="14">
        <f t="shared" si="83"/>
        <v>432.97286400000007</v>
      </c>
      <c r="L145" s="14">
        <f t="shared" si="83"/>
        <v>432.97286400000007</v>
      </c>
      <c r="M145" s="14">
        <f t="shared" si="83"/>
        <v>432.97286400000007</v>
      </c>
      <c r="N145" s="14">
        <f t="shared" si="83"/>
        <v>432.97286400000007</v>
      </c>
      <c r="O145" s="14">
        <f t="shared" si="83"/>
        <v>432.97286400000007</v>
      </c>
      <c r="P145" s="14">
        <f t="shared" si="83"/>
        <v>432.97286400000007</v>
      </c>
      <c r="Q145" s="14">
        <f t="shared" si="83"/>
        <v>432.97286400000007</v>
      </c>
      <c r="R145" s="14">
        <f t="shared" si="83"/>
        <v>432.97286400000007</v>
      </c>
      <c r="S145" s="14">
        <f t="shared" si="81"/>
        <v>5195.6743680000027</v>
      </c>
    </row>
    <row r="146" spans="1:19" x14ac:dyDescent="0.2">
      <c r="C146" t="s">
        <v>38</v>
      </c>
      <c r="F146" s="14">
        <v>16647.329561033439</v>
      </c>
      <c r="G146" s="14">
        <f>+F146/12</f>
        <v>1387.2774634194532</v>
      </c>
      <c r="H146" s="14">
        <f>+G146</f>
        <v>1387.2774634194532</v>
      </c>
      <c r="I146" s="14">
        <f t="shared" ref="I146:R146" si="84">+H146</f>
        <v>1387.2774634194532</v>
      </c>
      <c r="J146" s="14">
        <f t="shared" si="84"/>
        <v>1387.2774634194532</v>
      </c>
      <c r="K146" s="14">
        <f t="shared" si="84"/>
        <v>1387.2774634194532</v>
      </c>
      <c r="L146" s="14">
        <f t="shared" si="84"/>
        <v>1387.2774634194532</v>
      </c>
      <c r="M146" s="14">
        <f t="shared" si="84"/>
        <v>1387.2774634194532</v>
      </c>
      <c r="N146" s="14">
        <f t="shared" si="84"/>
        <v>1387.2774634194532</v>
      </c>
      <c r="O146" s="14">
        <f t="shared" si="84"/>
        <v>1387.2774634194532</v>
      </c>
      <c r="P146" s="14">
        <f t="shared" si="84"/>
        <v>1387.2774634194532</v>
      </c>
      <c r="Q146" s="14">
        <f t="shared" si="84"/>
        <v>1387.2774634194532</v>
      </c>
      <c r="R146" s="14">
        <f t="shared" si="84"/>
        <v>1387.2774634194532</v>
      </c>
      <c r="S146" s="14">
        <f t="shared" si="81"/>
        <v>16647.329561033443</v>
      </c>
    </row>
    <row r="147" spans="1:19" x14ac:dyDescent="0.2">
      <c r="C147" t="s">
        <v>13</v>
      </c>
      <c r="F147" s="14">
        <v>3501.3669510487703</v>
      </c>
      <c r="G147" s="14">
        <f>+F147/4</f>
        <v>875.34173776219257</v>
      </c>
      <c r="H147" s="14">
        <f>+(F147-G147)/11</f>
        <v>238.72956484423432</v>
      </c>
      <c r="I147" s="14">
        <f t="shared" ref="I147:R147" si="85">+H147</f>
        <v>238.72956484423432</v>
      </c>
      <c r="J147" s="14">
        <f t="shared" si="85"/>
        <v>238.72956484423432</v>
      </c>
      <c r="K147" s="14">
        <f t="shared" si="85"/>
        <v>238.72956484423432</v>
      </c>
      <c r="L147" s="14">
        <f t="shared" si="85"/>
        <v>238.72956484423432</v>
      </c>
      <c r="M147" s="14">
        <f t="shared" si="85"/>
        <v>238.72956484423432</v>
      </c>
      <c r="N147" s="14">
        <f t="shared" si="85"/>
        <v>238.72956484423432</v>
      </c>
      <c r="O147" s="14">
        <f t="shared" si="85"/>
        <v>238.72956484423432</v>
      </c>
      <c r="P147" s="14">
        <f t="shared" si="85"/>
        <v>238.72956484423432</v>
      </c>
      <c r="Q147" s="14">
        <f t="shared" si="85"/>
        <v>238.72956484423432</v>
      </c>
      <c r="R147" s="14">
        <f t="shared" si="85"/>
        <v>238.72956484423432</v>
      </c>
      <c r="S147" s="14">
        <f t="shared" si="81"/>
        <v>3501.3669510487689</v>
      </c>
    </row>
    <row r="148" spans="1:19" ht="15" x14ac:dyDescent="0.35">
      <c r="C148" t="s">
        <v>15</v>
      </c>
      <c r="F148" s="4">
        <v>1082.4321600000001</v>
      </c>
      <c r="G148" s="4">
        <f>+F148/4</f>
        <v>270.60804000000002</v>
      </c>
      <c r="H148" s="4">
        <f>+(F148-G148)/11</f>
        <v>73.802192727272725</v>
      </c>
      <c r="I148" s="4">
        <f t="shared" ref="I148:R148" si="86">+H148</f>
        <v>73.802192727272725</v>
      </c>
      <c r="J148" s="4">
        <f t="shared" si="86"/>
        <v>73.802192727272725</v>
      </c>
      <c r="K148" s="4">
        <f t="shared" si="86"/>
        <v>73.802192727272725</v>
      </c>
      <c r="L148" s="4">
        <f t="shared" si="86"/>
        <v>73.802192727272725</v>
      </c>
      <c r="M148" s="4">
        <f t="shared" si="86"/>
        <v>73.802192727272725</v>
      </c>
      <c r="N148" s="4">
        <f t="shared" si="86"/>
        <v>73.802192727272725</v>
      </c>
      <c r="O148" s="4">
        <f t="shared" si="86"/>
        <v>73.802192727272725</v>
      </c>
      <c r="P148" s="4">
        <f t="shared" si="86"/>
        <v>73.802192727272725</v>
      </c>
      <c r="Q148" s="4">
        <f t="shared" si="86"/>
        <v>73.802192727272725</v>
      </c>
      <c r="R148" s="4">
        <f t="shared" si="86"/>
        <v>73.802192727272725</v>
      </c>
      <c r="S148" s="4">
        <f t="shared" si="81"/>
        <v>1082.4321600000003</v>
      </c>
    </row>
    <row r="149" spans="1:19" ht="15" x14ac:dyDescent="0.35">
      <c r="D149" s="5" t="s">
        <v>155</v>
      </c>
      <c r="E149" s="9"/>
      <c r="F149" s="6">
        <v>30973.018112082213</v>
      </c>
      <c r="G149" s="6">
        <f>SUM(G143:G148)</f>
        <v>6321.7398011816458</v>
      </c>
      <c r="H149" s="6">
        <f t="shared" ref="H149:N149" si="87">SUM(H143:H148)</f>
        <v>2241.0253009909602</v>
      </c>
      <c r="I149" s="6">
        <f t="shared" si="87"/>
        <v>2241.0253009909602</v>
      </c>
      <c r="J149" s="6">
        <f t="shared" si="87"/>
        <v>2241.0253009909602</v>
      </c>
      <c r="K149" s="6">
        <f t="shared" si="87"/>
        <v>2241.0253009909602</v>
      </c>
      <c r="L149" s="6">
        <f t="shared" si="87"/>
        <v>2241.0253009909602</v>
      </c>
      <c r="M149" s="6">
        <f t="shared" si="87"/>
        <v>2241.0253009909602</v>
      </c>
      <c r="N149" s="6">
        <f t="shared" si="87"/>
        <v>2241.0253009909602</v>
      </c>
      <c r="O149" s="6">
        <f>SUM(O143:O148)</f>
        <v>2241.0253009909602</v>
      </c>
      <c r="P149" s="6">
        <f>SUM(P143:P148)</f>
        <v>2241.0253009909602</v>
      </c>
      <c r="Q149" s="6">
        <f>SUM(Q143:Q148)</f>
        <v>2241.0253009909602</v>
      </c>
      <c r="R149" s="6">
        <f>SUM(R143:R148)</f>
        <v>2241.0253009909602</v>
      </c>
      <c r="S149" s="6">
        <f>SUM(S143:S148)</f>
        <v>30973.018112082213</v>
      </c>
    </row>
    <row r="150" spans="1:19" ht="15" x14ac:dyDescent="0.35">
      <c r="A150" s="5"/>
      <c r="B150" s="5" t="s">
        <v>39</v>
      </c>
      <c r="C150" s="5"/>
      <c r="D150" s="5"/>
      <c r="E150" s="9"/>
      <c r="F150" s="6">
        <v>76328.780440482209</v>
      </c>
      <c r="G150" s="6">
        <f t="shared" ref="G150:S150" si="88">+G137+G142+G149</f>
        <v>10101.386661881646</v>
      </c>
      <c r="H150" s="6">
        <f t="shared" si="88"/>
        <v>6020.6721616909599</v>
      </c>
      <c r="I150" s="6">
        <f t="shared" si="88"/>
        <v>6020.6721616909599</v>
      </c>
      <c r="J150" s="6">
        <f t="shared" si="88"/>
        <v>6020.6721616909599</v>
      </c>
      <c r="K150" s="6">
        <f t="shared" si="88"/>
        <v>6020.6721616909599</v>
      </c>
      <c r="L150" s="6">
        <f t="shared" si="88"/>
        <v>6020.6721616909599</v>
      </c>
      <c r="M150" s="6">
        <f t="shared" si="88"/>
        <v>6020.6721616909599</v>
      </c>
      <c r="N150" s="6">
        <f t="shared" si="88"/>
        <v>6020.6721616909599</v>
      </c>
      <c r="O150" s="6">
        <f t="shared" si="88"/>
        <v>6020.6721616909599</v>
      </c>
      <c r="P150" s="6">
        <f t="shared" si="88"/>
        <v>6020.6721616909599</v>
      </c>
      <c r="Q150" s="6">
        <f t="shared" si="88"/>
        <v>6020.6721616909599</v>
      </c>
      <c r="R150" s="6">
        <f t="shared" si="88"/>
        <v>6020.6721616909599</v>
      </c>
      <c r="S150" s="6">
        <f t="shared" si="88"/>
        <v>76328.780440482209</v>
      </c>
    </row>
    <row r="151" spans="1:19" ht="15" x14ac:dyDescent="0.35">
      <c r="A151" s="5"/>
      <c r="B151" s="5"/>
      <c r="C151" s="5"/>
      <c r="D151" s="5"/>
      <c r="E151" s="9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</row>
    <row r="152" spans="1:19" ht="15" x14ac:dyDescent="0.35">
      <c r="A152" s="5"/>
      <c r="B152" s="5" t="s">
        <v>81</v>
      </c>
      <c r="C152" s="5"/>
      <c r="D152" s="5"/>
      <c r="E152" s="9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</row>
    <row r="153" spans="1:19" x14ac:dyDescent="0.2">
      <c r="A153" s="5"/>
      <c r="B153" s="5"/>
      <c r="C153" t="s">
        <v>11</v>
      </c>
      <c r="D153" s="5"/>
      <c r="E153" s="9"/>
      <c r="F153" s="14">
        <v>1298.9185920000002</v>
      </c>
      <c r="G153" s="14">
        <f>+F153/12</f>
        <v>108.24321600000002</v>
      </c>
      <c r="H153" s="14">
        <f t="shared" ref="H153:R153" si="89">+G153</f>
        <v>108.24321600000002</v>
      </c>
      <c r="I153" s="14">
        <f t="shared" si="89"/>
        <v>108.24321600000002</v>
      </c>
      <c r="J153" s="14">
        <f t="shared" si="89"/>
        <v>108.24321600000002</v>
      </c>
      <c r="K153" s="14">
        <f t="shared" si="89"/>
        <v>108.24321600000002</v>
      </c>
      <c r="L153" s="14">
        <f t="shared" si="89"/>
        <v>108.24321600000002</v>
      </c>
      <c r="M153" s="14">
        <f t="shared" si="89"/>
        <v>108.24321600000002</v>
      </c>
      <c r="N153" s="14">
        <f t="shared" si="89"/>
        <v>108.24321600000002</v>
      </c>
      <c r="O153" s="14">
        <f t="shared" si="89"/>
        <v>108.24321600000002</v>
      </c>
      <c r="P153" s="14">
        <f t="shared" si="89"/>
        <v>108.24321600000002</v>
      </c>
      <c r="Q153" s="14">
        <f t="shared" si="89"/>
        <v>108.24321600000002</v>
      </c>
      <c r="R153" s="14">
        <f t="shared" si="89"/>
        <v>108.24321600000002</v>
      </c>
      <c r="S153" s="14">
        <f>SUM(G153:R153)</f>
        <v>1298.9185920000007</v>
      </c>
    </row>
    <row r="154" spans="1:19" ht="15" x14ac:dyDescent="0.35">
      <c r="A154" s="5"/>
      <c r="B154" s="5"/>
      <c r="C154" t="s">
        <v>13</v>
      </c>
      <c r="D154" s="5"/>
      <c r="F154" s="10">
        <v>1082.4321600000001</v>
      </c>
      <c r="G154" s="10">
        <f>+F154/4</f>
        <v>270.60804000000002</v>
      </c>
      <c r="H154" s="10">
        <f>+(F154-G154)/11</f>
        <v>73.802192727272725</v>
      </c>
      <c r="I154" s="10">
        <f t="shared" ref="I154:R154" si="90">+H154</f>
        <v>73.802192727272725</v>
      </c>
      <c r="J154" s="10">
        <f t="shared" si="90"/>
        <v>73.802192727272725</v>
      </c>
      <c r="K154" s="10">
        <f t="shared" si="90"/>
        <v>73.802192727272725</v>
      </c>
      <c r="L154" s="10">
        <f t="shared" si="90"/>
        <v>73.802192727272725</v>
      </c>
      <c r="M154" s="10">
        <f t="shared" si="90"/>
        <v>73.802192727272725</v>
      </c>
      <c r="N154" s="10">
        <f t="shared" si="90"/>
        <v>73.802192727272725</v>
      </c>
      <c r="O154" s="10">
        <f t="shared" si="90"/>
        <v>73.802192727272725</v>
      </c>
      <c r="P154" s="10">
        <f t="shared" si="90"/>
        <v>73.802192727272725</v>
      </c>
      <c r="Q154" s="10">
        <f t="shared" si="90"/>
        <v>73.802192727272725</v>
      </c>
      <c r="R154" s="10">
        <f t="shared" si="90"/>
        <v>73.802192727272725</v>
      </c>
      <c r="S154" s="10">
        <f>SUM(G154:R154)</f>
        <v>1082.4321600000003</v>
      </c>
    </row>
    <row r="155" spans="1:19" ht="15" x14ac:dyDescent="0.35">
      <c r="A155" s="5"/>
      <c r="B155" s="5" t="s">
        <v>82</v>
      </c>
      <c r="C155" s="5"/>
      <c r="D155" s="5"/>
      <c r="E155" s="9"/>
      <c r="F155" s="6">
        <v>2381.3507520000003</v>
      </c>
      <c r="G155" s="6">
        <f t="shared" ref="G155:S155" si="91">SUM(G153:G154)</f>
        <v>378.85125600000003</v>
      </c>
      <c r="H155" s="6">
        <f t="shared" si="91"/>
        <v>182.04540872727273</v>
      </c>
      <c r="I155" s="6">
        <f t="shared" si="91"/>
        <v>182.04540872727273</v>
      </c>
      <c r="J155" s="6">
        <f t="shared" si="91"/>
        <v>182.04540872727273</v>
      </c>
      <c r="K155" s="6">
        <f t="shared" si="91"/>
        <v>182.04540872727273</v>
      </c>
      <c r="L155" s="6">
        <f t="shared" si="91"/>
        <v>182.04540872727273</v>
      </c>
      <c r="M155" s="6">
        <f t="shared" si="91"/>
        <v>182.04540872727273</v>
      </c>
      <c r="N155" s="6">
        <f t="shared" si="91"/>
        <v>182.04540872727273</v>
      </c>
      <c r="O155" s="6">
        <f t="shared" si="91"/>
        <v>182.04540872727273</v>
      </c>
      <c r="P155" s="6">
        <f t="shared" si="91"/>
        <v>182.04540872727273</v>
      </c>
      <c r="Q155" s="6">
        <f t="shared" si="91"/>
        <v>182.04540872727273</v>
      </c>
      <c r="R155" s="6">
        <f t="shared" si="91"/>
        <v>182.04540872727273</v>
      </c>
      <c r="S155" s="6">
        <f t="shared" si="91"/>
        <v>2381.3507520000012</v>
      </c>
    </row>
    <row r="156" spans="1:19" x14ac:dyDescent="0.2">
      <c r="A156" s="5"/>
      <c r="B156" s="5"/>
      <c r="C156" s="5"/>
      <c r="D156" s="5"/>
      <c r="E156" s="9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</row>
    <row r="157" spans="1:19" ht="15" x14ac:dyDescent="0.35">
      <c r="A157" s="5" t="s">
        <v>40</v>
      </c>
      <c r="B157" s="5"/>
      <c r="C157" s="5"/>
      <c r="D157" s="5"/>
      <c r="E157" s="9"/>
      <c r="F157" s="6">
        <v>1984082.4540266453</v>
      </c>
      <c r="G157" s="6">
        <f t="shared" ref="G157:S157" si="92">SUM(G41,G54,G69,G72,G75,G86,G107,G113,G118,G130,G133,G150,G155)</f>
        <v>168057.40167840302</v>
      </c>
      <c r="H157" s="6">
        <f t="shared" si="92"/>
        <v>167042.33019388755</v>
      </c>
      <c r="I157" s="6">
        <f t="shared" si="92"/>
        <v>167042.33019388755</v>
      </c>
      <c r="J157" s="6">
        <f t="shared" si="92"/>
        <v>167042.33019388755</v>
      </c>
      <c r="K157" s="6">
        <f t="shared" si="92"/>
        <v>167042.33019388755</v>
      </c>
      <c r="L157" s="6">
        <f t="shared" si="92"/>
        <v>167375.66352722092</v>
      </c>
      <c r="M157" s="6">
        <f t="shared" si="92"/>
        <v>167042.33019388755</v>
      </c>
      <c r="N157" s="6">
        <f t="shared" si="92"/>
        <v>167042.33019388755</v>
      </c>
      <c r="O157" s="6">
        <f t="shared" si="92"/>
        <v>167042.33019388755</v>
      </c>
      <c r="P157" s="6">
        <f t="shared" si="92"/>
        <v>167042.33019388755</v>
      </c>
      <c r="Q157" s="6">
        <f t="shared" si="92"/>
        <v>167042.33019388755</v>
      </c>
      <c r="R157" s="6">
        <f t="shared" si="92"/>
        <v>145268.41707603293</v>
      </c>
      <c r="S157" s="6">
        <f t="shared" si="92"/>
        <v>1984082.4540266455</v>
      </c>
    </row>
    <row r="159" spans="1:19" s="5" customFormat="1" ht="15" x14ac:dyDescent="0.35">
      <c r="A159" s="5" t="s">
        <v>172</v>
      </c>
      <c r="E159" s="9"/>
      <c r="F159" s="6">
        <v>52058.599429951049</v>
      </c>
      <c r="G159" s="7" t="e">
        <f t="shared" ref="G159:S159" si="93">G10+G18-G157</f>
        <v>#REF!</v>
      </c>
      <c r="H159" s="7" t="e">
        <f t="shared" si="93"/>
        <v>#REF!</v>
      </c>
      <c r="I159" s="7" t="e">
        <f t="shared" si="93"/>
        <v>#REF!</v>
      </c>
      <c r="J159" s="7" t="e">
        <f t="shared" si="93"/>
        <v>#REF!</v>
      </c>
      <c r="K159" s="7" t="e">
        <f t="shared" si="93"/>
        <v>#REF!</v>
      </c>
      <c r="L159" s="7" t="e">
        <f t="shared" si="93"/>
        <v>#REF!</v>
      </c>
      <c r="M159" s="7" t="e">
        <f t="shared" si="93"/>
        <v>#REF!</v>
      </c>
      <c r="N159" s="7" t="e">
        <f t="shared" si="93"/>
        <v>#REF!</v>
      </c>
      <c r="O159" s="7" t="e">
        <f t="shared" si="93"/>
        <v>#REF!</v>
      </c>
      <c r="P159" s="7" t="e">
        <f t="shared" si="93"/>
        <v>#REF!</v>
      </c>
      <c r="Q159" s="7" t="e">
        <f t="shared" si="93"/>
        <v>#REF!</v>
      </c>
      <c r="R159" s="7" t="e">
        <f t="shared" si="93"/>
        <v>#REF!</v>
      </c>
      <c r="S159" s="7" t="e">
        <f t="shared" si="93"/>
        <v>#REF!</v>
      </c>
    </row>
  </sheetData>
  <phoneticPr fontId="0" type="noConversion"/>
  <printOptions horizontalCentered="1"/>
  <pageMargins left="0.25" right="0.25" top="0.5" bottom="0.5" header="0" footer="0"/>
  <pageSetup scale="66" orientation="landscape" horizontalDpi="300" verticalDpi="300"/>
  <headerFooter alignWithMargins="0"/>
  <rowBreaks count="2" manualBreakCount="2">
    <brk id="54" max="16383" man="1"/>
    <brk id="107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1"/>
  <sheetViews>
    <sheetView workbookViewId="0"/>
  </sheetViews>
  <sheetFormatPr defaultColWidth="8.7109375" defaultRowHeight="12.75" x14ac:dyDescent="0.2"/>
  <cols>
    <col min="1" max="3" width="2.7109375" customWidth="1"/>
    <col min="4" max="4" width="34.28515625" customWidth="1"/>
    <col min="5" max="5" width="32.7109375" style="3" hidden="1" customWidth="1"/>
    <col min="6" max="6" width="14" style="14" bestFit="1" customWidth="1"/>
    <col min="7" max="7" width="14.42578125" style="14" bestFit="1" customWidth="1"/>
    <col min="8" max="8" width="14" style="14" bestFit="1" customWidth="1"/>
    <col min="9" max="9" width="14.7109375" style="14" bestFit="1" customWidth="1"/>
    <col min="10" max="10" width="14.140625" style="14" bestFit="1" customWidth="1"/>
    <col min="12" max="16" width="10.28515625" bestFit="1" customWidth="1"/>
  </cols>
  <sheetData>
    <row r="1" spans="1:10" x14ac:dyDescent="0.2">
      <c r="A1" s="94" t="s">
        <v>146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x14ac:dyDescent="0.2">
      <c r="A2" s="94" t="s">
        <v>165</v>
      </c>
      <c r="B2" s="94"/>
      <c r="C2" s="94"/>
      <c r="D2" s="94"/>
      <c r="E2" s="94"/>
      <c r="F2" s="94"/>
      <c r="G2" s="94"/>
      <c r="H2" s="94"/>
      <c r="I2" s="94"/>
      <c r="J2" s="94"/>
    </row>
    <row r="3" spans="1:10" x14ac:dyDescent="0.2">
      <c r="A3" s="94" t="s">
        <v>143</v>
      </c>
      <c r="B3" s="94"/>
      <c r="C3" s="94"/>
      <c r="D3" s="94"/>
      <c r="E3" s="94"/>
      <c r="F3" s="94"/>
      <c r="G3" s="94"/>
      <c r="H3" s="94"/>
      <c r="I3" s="94"/>
      <c r="J3" s="94"/>
    </row>
    <row r="4" spans="1:10" x14ac:dyDescent="0.2">
      <c r="A4" s="9"/>
      <c r="B4" s="9"/>
      <c r="C4" s="9"/>
      <c r="D4" s="9"/>
      <c r="E4" s="9"/>
      <c r="F4" s="9"/>
      <c r="G4"/>
      <c r="H4"/>
      <c r="I4"/>
      <c r="J4"/>
    </row>
    <row r="5" spans="1:10" x14ac:dyDescent="0.2">
      <c r="A5" s="9"/>
      <c r="B5" s="9"/>
      <c r="C5" s="9"/>
      <c r="D5" s="9"/>
      <c r="E5" s="12" t="s">
        <v>125</v>
      </c>
      <c r="F5" s="12" t="s">
        <v>58</v>
      </c>
      <c r="G5" s="12" t="s">
        <v>59</v>
      </c>
      <c r="H5" s="12" t="s">
        <v>62</v>
      </c>
      <c r="I5" s="12" t="s">
        <v>113</v>
      </c>
      <c r="J5" s="12" t="s">
        <v>144</v>
      </c>
    </row>
    <row r="6" spans="1:10" x14ac:dyDescent="0.2">
      <c r="A6" s="9"/>
      <c r="B6" s="9"/>
      <c r="C6" s="9"/>
      <c r="D6" s="9"/>
      <c r="E6" s="12"/>
      <c r="F6" s="12"/>
      <c r="G6" s="12"/>
      <c r="H6" s="12"/>
      <c r="I6" s="12"/>
      <c r="J6" s="12"/>
    </row>
    <row r="7" spans="1:10" hidden="1" x14ac:dyDescent="0.2">
      <c r="A7" s="5" t="s">
        <v>60</v>
      </c>
      <c r="F7" s="14" t="e">
        <f>+#REF!</f>
        <v>#REF!</v>
      </c>
      <c r="G7" s="14" t="e">
        <f>+#REF!</f>
        <v>#REF!</v>
      </c>
      <c r="H7" s="14" t="e">
        <f>+#REF!</f>
        <v>#REF!</v>
      </c>
      <c r="I7" s="14" t="e">
        <f>+#REF!</f>
        <v>#REF!</v>
      </c>
      <c r="J7" s="14" t="e">
        <f>+#REF!</f>
        <v>#REF!</v>
      </c>
    </row>
    <row r="8" spans="1:10" hidden="1" x14ac:dyDescent="0.2">
      <c r="A8" s="5"/>
    </row>
    <row r="9" spans="1:10" hidden="1" x14ac:dyDescent="0.2">
      <c r="A9" s="5"/>
    </row>
    <row r="10" spans="1:10" ht="15" x14ac:dyDescent="0.35">
      <c r="A10" s="5" t="s">
        <v>103</v>
      </c>
      <c r="F10" s="6">
        <v>0</v>
      </c>
      <c r="G10" s="6" t="e">
        <f>+F161</f>
        <v>#REF!</v>
      </c>
      <c r="H10" s="6" t="e">
        <f>+G161</f>
        <v>#REF!</v>
      </c>
      <c r="I10" s="6" t="e">
        <f>+H161</f>
        <v>#REF!</v>
      </c>
      <c r="J10" s="6" t="e">
        <f>+I161</f>
        <v>#REF!</v>
      </c>
    </row>
    <row r="11" spans="1:10" x14ac:dyDescent="0.2">
      <c r="F11" s="15"/>
      <c r="G11" s="15"/>
      <c r="H11" s="15"/>
      <c r="I11" s="15"/>
      <c r="J11" s="15"/>
    </row>
    <row r="12" spans="1:10" x14ac:dyDescent="0.2">
      <c r="A12" s="5" t="s">
        <v>1</v>
      </c>
    </row>
    <row r="13" spans="1:10" ht="15" x14ac:dyDescent="0.35">
      <c r="B13" t="s">
        <v>2</v>
      </c>
      <c r="E13" s="3" t="s">
        <v>51</v>
      </c>
      <c r="F13" s="4">
        <v>0</v>
      </c>
      <c r="G13" s="4" t="e">
        <f>+F13/F7*G7*Inf</f>
        <v>#REF!</v>
      </c>
      <c r="H13" s="4" t="e">
        <f>+G13/G7*H7*Inf</f>
        <v>#REF!</v>
      </c>
      <c r="I13" s="4" t="e">
        <f>+H13/H7*I7*Inf</f>
        <v>#REF!</v>
      </c>
      <c r="J13" s="4" t="e">
        <f>+I13/I7*J7*Inf</f>
        <v>#REF!</v>
      </c>
    </row>
    <row r="14" spans="1:10" hidden="1" x14ac:dyDescent="0.2">
      <c r="B14" t="s">
        <v>65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</row>
    <row r="15" spans="1:10" hidden="1" x14ac:dyDescent="0.2">
      <c r="B15" t="s">
        <v>88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</row>
    <row r="16" spans="1:10" hidden="1" x14ac:dyDescent="0.2">
      <c r="B16" t="s">
        <v>142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</row>
    <row r="17" spans="1:10" ht="15" hidden="1" x14ac:dyDescent="0.35">
      <c r="B17" t="s">
        <v>3</v>
      </c>
      <c r="E17" s="3" t="s">
        <v>63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</row>
    <row r="18" spans="1:10" s="5" customFormat="1" ht="15" x14ac:dyDescent="0.35">
      <c r="A18" s="5" t="s">
        <v>49</v>
      </c>
      <c r="E18" s="9"/>
      <c r="F18" s="6">
        <f>SUM(F13:F17)</f>
        <v>0</v>
      </c>
      <c r="G18" s="6" t="e">
        <f>SUM(G13:G17)</f>
        <v>#REF!</v>
      </c>
      <c r="H18" s="6" t="e">
        <f>SUM(H13:H17)</f>
        <v>#REF!</v>
      </c>
      <c r="I18" s="6" t="e">
        <f>SUM(I13:I17)</f>
        <v>#REF!</v>
      </c>
      <c r="J18" s="6" t="e">
        <f>SUM(J13:J17)</f>
        <v>#REF!</v>
      </c>
    </row>
    <row r="20" spans="1:10" x14ac:dyDescent="0.2">
      <c r="A20" s="5" t="s">
        <v>4</v>
      </c>
    </row>
    <row r="21" spans="1:10" x14ac:dyDescent="0.2">
      <c r="B21" s="5" t="s">
        <v>5</v>
      </c>
    </row>
    <row r="22" spans="1:10" hidden="1" x14ac:dyDescent="0.2">
      <c r="B22" s="5"/>
      <c r="C22" t="s">
        <v>6</v>
      </c>
      <c r="E22" s="3" t="e">
        <f>CONCATENATE(#REF!+Misc!B5," @ ",Tchr)</f>
        <v>#REF!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</row>
    <row r="23" spans="1:10" hidden="1" x14ac:dyDescent="0.2">
      <c r="B23" s="5"/>
      <c r="C23" t="s">
        <v>156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</row>
    <row r="24" spans="1:10" ht="15" hidden="1" x14ac:dyDescent="0.35">
      <c r="C24" t="s">
        <v>96</v>
      </c>
      <c r="E24" s="3" t="str">
        <f>CONCATENATE(para1," @ ",Misc!B8)</f>
        <v>0 @ 17280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</row>
    <row r="25" spans="1:10" ht="15" hidden="1" x14ac:dyDescent="0.35">
      <c r="D25" s="5" t="s">
        <v>41</v>
      </c>
      <c r="E25" s="9"/>
      <c r="F25" s="6">
        <f>SUM(F22:F24)</f>
        <v>0</v>
      </c>
      <c r="G25" s="6">
        <f>SUM(G22:G24)</f>
        <v>0</v>
      </c>
      <c r="H25" s="6">
        <f>SUM(H22:H24)</f>
        <v>0</v>
      </c>
      <c r="I25" s="6">
        <f>SUM(I22:I24)</f>
        <v>0</v>
      </c>
      <c r="J25" s="6">
        <f>SUM(J22:J24)</f>
        <v>0</v>
      </c>
    </row>
    <row r="26" spans="1:10" hidden="1" x14ac:dyDescent="0.2">
      <c r="C26" t="s">
        <v>7</v>
      </c>
      <c r="E26" s="13">
        <v>1.4999999999999999E-2</v>
      </c>
      <c r="F26" s="14">
        <f>+F25*0.015</f>
        <v>0</v>
      </c>
      <c r="G26" s="14">
        <f>+G25*0.015</f>
        <v>0</v>
      </c>
      <c r="H26" s="14">
        <f>+H25*0.015</f>
        <v>0</v>
      </c>
      <c r="I26" s="14">
        <f>+I25*0.015</f>
        <v>0</v>
      </c>
      <c r="J26" s="14">
        <f>+J25*0.015</f>
        <v>0</v>
      </c>
    </row>
    <row r="27" spans="1:10" hidden="1" x14ac:dyDescent="0.2">
      <c r="C27" t="s">
        <v>8</v>
      </c>
      <c r="E27" s="3" t="s">
        <v>52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</row>
    <row r="28" spans="1:10" hidden="1" x14ac:dyDescent="0.2">
      <c r="C28" t="s">
        <v>9</v>
      </c>
      <c r="E28" s="3" t="str">
        <f>CONCATENATE("$",ins," per month per employee")</f>
        <v>$266.666666666666 per month per employee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</row>
    <row r="29" spans="1:10" ht="15" hidden="1" x14ac:dyDescent="0.35">
      <c r="C29" t="s">
        <v>10</v>
      </c>
      <c r="E29" s="11" t="s">
        <v>53</v>
      </c>
      <c r="F29" s="4">
        <f>+F25*0.01</f>
        <v>0</v>
      </c>
      <c r="G29" s="4">
        <f>+G25*0.01</f>
        <v>0</v>
      </c>
      <c r="H29" s="4">
        <f>+H25*0.01</f>
        <v>0</v>
      </c>
      <c r="I29" s="4">
        <f>+I25*0.01</f>
        <v>0</v>
      </c>
      <c r="J29" s="4">
        <f>+J25*0.01</f>
        <v>0</v>
      </c>
    </row>
    <row r="30" spans="1:10" ht="15" hidden="1" x14ac:dyDescent="0.35">
      <c r="D30" s="5" t="s">
        <v>42</v>
      </c>
      <c r="E30" s="9"/>
      <c r="F30" s="6">
        <f>SUM(F26:F29)</f>
        <v>0</v>
      </c>
      <c r="G30" s="6">
        <f>SUM(G26:G29)</f>
        <v>0</v>
      </c>
      <c r="H30" s="6">
        <f>SUM(H26:H29)</f>
        <v>0</v>
      </c>
      <c r="I30" s="6">
        <f>SUM(I26:I29)</f>
        <v>0</v>
      </c>
      <c r="J30" s="6">
        <f>SUM(J26:J29)</f>
        <v>0</v>
      </c>
    </row>
    <row r="31" spans="1:10" hidden="1" x14ac:dyDescent="0.2">
      <c r="C31" t="s">
        <v>11</v>
      </c>
      <c r="E31" s="3" t="s">
        <v>140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</row>
    <row r="32" spans="1:10" hidden="1" x14ac:dyDescent="0.2">
      <c r="C32" t="s">
        <v>12</v>
      </c>
      <c r="E32" s="3" t="s">
        <v>54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</row>
    <row r="33" spans="2:10" x14ac:dyDescent="0.2">
      <c r="C33" t="s">
        <v>13</v>
      </c>
      <c r="E33" s="3" t="s">
        <v>106</v>
      </c>
      <c r="F33" s="14" t="e">
        <f>+#REF!*75-'Yr1'!G33</f>
        <v>#REF!</v>
      </c>
      <c r="G33" s="14" t="e">
        <f>+Annual!I47-'Yr2'!H33</f>
        <v>#REF!</v>
      </c>
      <c r="H33" s="14" t="e">
        <f>+Annual!J47</f>
        <v>#REF!</v>
      </c>
      <c r="I33" s="14">
        <v>23577.445187234043</v>
      </c>
      <c r="J33" s="14">
        <v>24048.994090978726</v>
      </c>
    </row>
    <row r="34" spans="2:10" hidden="1" x14ac:dyDescent="0.2">
      <c r="C34" t="s">
        <v>115</v>
      </c>
      <c r="E34" s="3" t="s">
        <v>137</v>
      </c>
      <c r="F34" s="14" t="e">
        <f>250*SUM(#REF!)</f>
        <v>#REF!</v>
      </c>
      <c r="G34" s="14">
        <f>+Annual!I49</f>
        <v>0</v>
      </c>
      <c r="H34" s="14">
        <f>+Annual!J49</f>
        <v>0</v>
      </c>
      <c r="I34" s="14">
        <f>+Annual!K49</f>
        <v>0</v>
      </c>
      <c r="J34" s="14">
        <f>+Annual!L49</f>
        <v>0</v>
      </c>
    </row>
    <row r="35" spans="2:10" x14ac:dyDescent="0.2">
      <c r="C35" t="s">
        <v>14</v>
      </c>
      <c r="E35" s="3" t="s">
        <v>68</v>
      </c>
      <c r="F35" s="14" t="e">
        <f>12*PMT(Misc!B32/12,Misc!B33,-Misc!B31)-'Yr1'!G35</f>
        <v>#REF!</v>
      </c>
      <c r="G35" s="14" t="e">
        <f>+Annual!I50-'Yr2'!H35</f>
        <v>#REF!</v>
      </c>
      <c r="H35" s="14">
        <v>14458.65772930903</v>
      </c>
      <c r="I35" s="14" t="e">
        <f>+Annual!K50</f>
        <v>#REF!</v>
      </c>
      <c r="J35" s="14" t="e">
        <f>+Annual!L50</f>
        <v>#REF!</v>
      </c>
    </row>
    <row r="36" spans="2:10" x14ac:dyDescent="0.2">
      <c r="C36" t="s">
        <v>69</v>
      </c>
      <c r="E36" s="3" t="s">
        <v>105</v>
      </c>
      <c r="F36" s="14" t="e">
        <f>150*#REF!-'Yr1'!G36</f>
        <v>#REF!</v>
      </c>
      <c r="G36" s="14" t="e">
        <f>+Annual!I51-'Yr2'!H36</f>
        <v>#REF!</v>
      </c>
      <c r="H36" s="14" t="e">
        <f>+Annual!J51</f>
        <v>#REF!</v>
      </c>
      <c r="I36" s="14" t="e">
        <f>+Annual!K51</f>
        <v>#REF!</v>
      </c>
      <c r="J36" s="14" t="e">
        <f>+Annual!L51</f>
        <v>#REF!</v>
      </c>
    </row>
    <row r="37" spans="2:10" hidden="1" x14ac:dyDescent="0.2">
      <c r="C37" t="s">
        <v>15</v>
      </c>
      <c r="E37" s="3" t="s">
        <v>107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</row>
    <row r="38" spans="2:10" hidden="1" x14ac:dyDescent="0.2">
      <c r="C38" t="s">
        <v>16</v>
      </c>
      <c r="E38" s="3" t="s">
        <v>54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</row>
    <row r="39" spans="2:10" ht="15" hidden="1" x14ac:dyDescent="0.35">
      <c r="C39" t="s">
        <v>17</v>
      </c>
      <c r="E39" s="3" t="s">
        <v>116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</row>
    <row r="40" spans="2:10" ht="15" x14ac:dyDescent="0.35">
      <c r="D40" s="5" t="s">
        <v>43</v>
      </c>
      <c r="E40" s="9"/>
      <c r="F40" s="6" t="e">
        <f>SUM(F31:F39)</f>
        <v>#REF!</v>
      </c>
      <c r="G40" s="6" t="e">
        <f>SUM(G31:G39)</f>
        <v>#REF!</v>
      </c>
      <c r="H40" s="6" t="e">
        <f>SUM(H31:H39)</f>
        <v>#REF!</v>
      </c>
      <c r="I40" s="6" t="e">
        <f>SUM(I31:I39)</f>
        <v>#REF!</v>
      </c>
      <c r="J40" s="6" t="e">
        <f>SUM(J31:J39)</f>
        <v>#REF!</v>
      </c>
    </row>
    <row r="41" spans="2:10" ht="15" x14ac:dyDescent="0.35">
      <c r="B41" s="5" t="s">
        <v>18</v>
      </c>
      <c r="C41" s="5"/>
      <c r="D41" s="5"/>
      <c r="E41" s="9"/>
      <c r="F41" s="6" t="e">
        <f>SUM(F40,F30,F25)</f>
        <v>#REF!</v>
      </c>
      <c r="G41" s="6" t="e">
        <f>SUM(G40,G30,G25)</f>
        <v>#REF!</v>
      </c>
      <c r="H41" s="6" t="e">
        <f>SUM(H40,H30,H25)</f>
        <v>#REF!</v>
      </c>
      <c r="I41" s="6" t="e">
        <f>SUM(I40,I30,I25)</f>
        <v>#REF!</v>
      </c>
      <c r="J41" s="6" t="e">
        <f>SUM(J40,J30,J25)</f>
        <v>#REF!</v>
      </c>
    </row>
    <row r="42" spans="2:10" hidden="1" x14ac:dyDescent="0.2"/>
    <row r="43" spans="2:10" hidden="1" x14ac:dyDescent="0.2">
      <c r="B43" s="5" t="s">
        <v>66</v>
      </c>
    </row>
    <row r="44" spans="2:10" ht="15" hidden="1" x14ac:dyDescent="0.35">
      <c r="B44" s="5"/>
      <c r="C44" t="s">
        <v>109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</row>
    <row r="45" spans="2:10" ht="15" hidden="1" x14ac:dyDescent="0.35">
      <c r="B45" s="5"/>
      <c r="C45" t="s">
        <v>114</v>
      </c>
      <c r="F45" s="4">
        <v>0</v>
      </c>
      <c r="G45" s="4">
        <f>+F45*Inf</f>
        <v>0</v>
      </c>
      <c r="H45" s="4">
        <f>+G45*Inf</f>
        <v>0</v>
      </c>
      <c r="I45" s="4">
        <f>+H45*Inf</f>
        <v>0</v>
      </c>
      <c r="J45" s="4">
        <f>+I45*Inf</f>
        <v>0</v>
      </c>
    </row>
    <row r="46" spans="2:10" ht="15" hidden="1" x14ac:dyDescent="0.35">
      <c r="B46" s="5"/>
      <c r="D46" s="5" t="s">
        <v>110</v>
      </c>
      <c r="F46" s="6">
        <f>SUM(F44:F45)</f>
        <v>0</v>
      </c>
      <c r="G46" s="6">
        <f>SUM(G44:G45)</f>
        <v>0</v>
      </c>
      <c r="H46" s="6">
        <f>SUM(H44:H45)</f>
        <v>0</v>
      </c>
      <c r="I46" s="6">
        <f>SUM(I44:I45)</f>
        <v>0</v>
      </c>
      <c r="J46" s="6">
        <f>SUM(J44:J45)</f>
        <v>0</v>
      </c>
    </row>
    <row r="47" spans="2:10" hidden="1" x14ac:dyDescent="0.2">
      <c r="B47" s="5"/>
      <c r="C47" t="s">
        <v>7</v>
      </c>
      <c r="E47" s="13">
        <v>1.4999999999999999E-2</v>
      </c>
      <c r="F47" s="14">
        <f>+F46*0.015</f>
        <v>0</v>
      </c>
      <c r="G47" s="14">
        <f>+G46*0.015</f>
        <v>0</v>
      </c>
      <c r="H47" s="14">
        <f>+H46*0.015</f>
        <v>0</v>
      </c>
      <c r="I47" s="14">
        <f>+I46*0.015</f>
        <v>0</v>
      </c>
      <c r="J47" s="14">
        <f>+J46*0.015</f>
        <v>0</v>
      </c>
    </row>
    <row r="48" spans="2:10" hidden="1" x14ac:dyDescent="0.2">
      <c r="B48" s="5"/>
      <c r="C48" t="s">
        <v>8</v>
      </c>
      <c r="E48" s="3" t="s">
        <v>52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</row>
    <row r="49" spans="2:10" hidden="1" x14ac:dyDescent="0.2">
      <c r="B49" s="5"/>
      <c r="C49" t="s">
        <v>9</v>
      </c>
      <c r="E49" s="3" t="str">
        <f>CONCATENATE(ins," per month per employee")</f>
        <v>266.666666666666 per month per employee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</row>
    <row r="50" spans="2:10" ht="15" hidden="1" x14ac:dyDescent="0.35">
      <c r="B50" s="5"/>
      <c r="C50" t="s">
        <v>10</v>
      </c>
      <c r="E50" s="11" t="s">
        <v>53</v>
      </c>
      <c r="F50" s="4">
        <f>+F46*0.01</f>
        <v>0</v>
      </c>
      <c r="G50" s="4">
        <f>+G46*0.01</f>
        <v>0</v>
      </c>
      <c r="H50" s="4">
        <f>+H46*0.01</f>
        <v>0</v>
      </c>
      <c r="I50" s="4">
        <f>+I46*0.01</f>
        <v>0</v>
      </c>
      <c r="J50" s="4">
        <f>+J46*0.01</f>
        <v>0</v>
      </c>
    </row>
    <row r="51" spans="2:10" ht="15" hidden="1" x14ac:dyDescent="0.35">
      <c r="B51" s="5"/>
      <c r="D51" s="5" t="s">
        <v>111</v>
      </c>
      <c r="F51" s="6">
        <f>SUM(F47:F50)</f>
        <v>0</v>
      </c>
      <c r="G51" s="6">
        <f>SUM(G47:G50)</f>
        <v>0</v>
      </c>
      <c r="H51" s="6">
        <f>SUM(H47:H50)</f>
        <v>0</v>
      </c>
      <c r="I51" s="6">
        <f>SUM(I47:I50)</f>
        <v>0</v>
      </c>
      <c r="J51" s="6">
        <f>SUM(J47:J50)</f>
        <v>0</v>
      </c>
    </row>
    <row r="52" spans="2:10" ht="15" hidden="1" x14ac:dyDescent="0.35">
      <c r="B52" s="5"/>
      <c r="C52" t="s">
        <v>13</v>
      </c>
      <c r="E52" s="3" t="s">
        <v>72</v>
      </c>
      <c r="F52" s="4" t="e">
        <f>300*#REF!*0</f>
        <v>#REF!</v>
      </c>
      <c r="G52" s="4" t="e">
        <f>300*#REF!*Inf*0</f>
        <v>#REF!</v>
      </c>
      <c r="H52" s="4" t="e">
        <f>300*#REF!*Inf^2*0</f>
        <v>#REF!</v>
      </c>
      <c r="I52" s="4">
        <v>0</v>
      </c>
      <c r="J52" s="4">
        <v>0</v>
      </c>
    </row>
    <row r="53" spans="2:10" ht="15" hidden="1" x14ac:dyDescent="0.35">
      <c r="B53" s="5"/>
      <c r="D53" s="5" t="s">
        <v>112</v>
      </c>
      <c r="F53" s="6" t="e">
        <f>SUM(F52)</f>
        <v>#REF!</v>
      </c>
      <c r="G53" s="6" t="e">
        <f>SUM(G52)</f>
        <v>#REF!</v>
      </c>
      <c r="H53" s="6" t="e">
        <f>SUM(H52)</f>
        <v>#REF!</v>
      </c>
      <c r="I53" s="6">
        <f>SUM(I52)</f>
        <v>0</v>
      </c>
      <c r="J53" s="6">
        <f>SUM(J52)</f>
        <v>0</v>
      </c>
    </row>
    <row r="54" spans="2:10" ht="15" hidden="1" x14ac:dyDescent="0.35">
      <c r="B54" s="5" t="s">
        <v>84</v>
      </c>
      <c r="F54" s="6" t="e">
        <f>+F46+F51+F53</f>
        <v>#REF!</v>
      </c>
      <c r="G54" s="6" t="e">
        <f>+G46+G51+G53</f>
        <v>#REF!</v>
      </c>
      <c r="H54" s="6" t="e">
        <f>+H46+H51+H53</f>
        <v>#REF!</v>
      </c>
      <c r="I54" s="6">
        <f>+I46+I51+I53</f>
        <v>0</v>
      </c>
      <c r="J54" s="6">
        <f>+J46+J51+J53</f>
        <v>0</v>
      </c>
    </row>
    <row r="55" spans="2:10" ht="15" hidden="1" x14ac:dyDescent="0.35">
      <c r="B55" s="5"/>
      <c r="F55" s="6"/>
      <c r="G55" s="6"/>
      <c r="H55" s="6"/>
      <c r="I55" s="6"/>
      <c r="J55" s="6"/>
    </row>
    <row r="56" spans="2:10" hidden="1" x14ac:dyDescent="0.2">
      <c r="B56" s="5" t="s">
        <v>117</v>
      </c>
    </row>
    <row r="57" spans="2:10" ht="15" hidden="1" x14ac:dyDescent="0.35">
      <c r="B57" s="5"/>
      <c r="C57" t="s">
        <v>118</v>
      </c>
      <c r="F57" s="4">
        <f>Tchr*0</f>
        <v>0</v>
      </c>
      <c r="G57" s="4">
        <f>+Tchr*Inf*0</f>
        <v>0</v>
      </c>
      <c r="H57" s="4">
        <f>Tchr*Inf^2*0</f>
        <v>0</v>
      </c>
      <c r="I57" s="4">
        <v>0</v>
      </c>
      <c r="J57" s="4">
        <v>0</v>
      </c>
    </row>
    <row r="58" spans="2:10" ht="15" hidden="1" x14ac:dyDescent="0.35">
      <c r="B58" s="5"/>
      <c r="C58" t="s">
        <v>114</v>
      </c>
      <c r="F58" s="4">
        <v>0</v>
      </c>
      <c r="G58" s="4">
        <f>+F58*Inf</f>
        <v>0</v>
      </c>
      <c r="H58" s="4">
        <f>+G58*Inf</f>
        <v>0</v>
      </c>
      <c r="I58" s="4">
        <f>+H58*Inf</f>
        <v>0</v>
      </c>
      <c r="J58" s="4">
        <f>+I58*Inf</f>
        <v>0</v>
      </c>
    </row>
    <row r="59" spans="2:10" ht="15" hidden="1" x14ac:dyDescent="0.35">
      <c r="B59" s="5"/>
      <c r="D59" s="5" t="s">
        <v>121</v>
      </c>
      <c r="F59" s="6">
        <f>SUM(F57:F58)</f>
        <v>0</v>
      </c>
      <c r="G59" s="6">
        <f>SUM(G57:G58)</f>
        <v>0</v>
      </c>
      <c r="H59" s="6">
        <f>SUM(H57:H58)</f>
        <v>0</v>
      </c>
      <c r="I59" s="6">
        <f>SUM(I57:I58)</f>
        <v>0</v>
      </c>
      <c r="J59" s="6">
        <f>SUM(J57:J58)</f>
        <v>0</v>
      </c>
    </row>
    <row r="60" spans="2:10" hidden="1" x14ac:dyDescent="0.2">
      <c r="B60" s="5"/>
      <c r="C60" t="s">
        <v>7</v>
      </c>
      <c r="E60" s="13">
        <v>1.4999999999999999E-2</v>
      </c>
      <c r="F60" s="14">
        <f>+F59*0.015</f>
        <v>0</v>
      </c>
      <c r="G60" s="14">
        <f>+G59*0.015</f>
        <v>0</v>
      </c>
      <c r="H60" s="14">
        <f>+H59*0.015</f>
        <v>0</v>
      </c>
      <c r="I60" s="14">
        <f>+I59*0.015</f>
        <v>0</v>
      </c>
      <c r="J60" s="14">
        <f>+J59*0.015</f>
        <v>0</v>
      </c>
    </row>
    <row r="61" spans="2:10" hidden="1" x14ac:dyDescent="0.2">
      <c r="B61" s="5"/>
      <c r="C61" t="s">
        <v>8</v>
      </c>
      <c r="E61" s="3" t="s">
        <v>52</v>
      </c>
      <c r="F61" s="14">
        <f>+F59*0.0765+0.027*1*7000*0</f>
        <v>0</v>
      </c>
      <c r="G61" s="14">
        <f>+G59*0.0765+0.027*1*7000*0</f>
        <v>0</v>
      </c>
      <c r="H61" s="14">
        <f>+H59*0.0765+0.027*1*7000*0</f>
        <v>0</v>
      </c>
      <c r="I61" s="14">
        <v>0</v>
      </c>
      <c r="J61" s="14">
        <v>0</v>
      </c>
    </row>
    <row r="62" spans="2:10" hidden="1" x14ac:dyDescent="0.2">
      <c r="B62" s="5"/>
      <c r="C62" t="s">
        <v>9</v>
      </c>
      <c r="E62" s="3" t="str">
        <f>CONCATENATE(ins," per month per employee")</f>
        <v>266.666666666666 per month per employee</v>
      </c>
      <c r="F62" s="14">
        <f>1*ins*12*0</f>
        <v>0</v>
      </c>
      <c r="G62" s="14">
        <f>1*ins*12*Inf*0</f>
        <v>0</v>
      </c>
      <c r="H62" s="14">
        <f>1*ins*12*Inf^2*0</f>
        <v>0</v>
      </c>
      <c r="I62" s="14">
        <v>0</v>
      </c>
      <c r="J62" s="14">
        <v>0</v>
      </c>
    </row>
    <row r="63" spans="2:10" ht="15" hidden="1" x14ac:dyDescent="0.35">
      <c r="B63" s="5"/>
      <c r="C63" t="s">
        <v>10</v>
      </c>
      <c r="E63" s="11" t="s">
        <v>53</v>
      </c>
      <c r="F63" s="4">
        <f>+F59*0.01</f>
        <v>0</v>
      </c>
      <c r="G63" s="4">
        <f>+G59*0.01</f>
        <v>0</v>
      </c>
      <c r="H63" s="4">
        <f>+H59*0.01</f>
        <v>0</v>
      </c>
      <c r="I63" s="4">
        <f>+I59*0.01</f>
        <v>0</v>
      </c>
      <c r="J63" s="4">
        <f>+J59*0.01</f>
        <v>0</v>
      </c>
    </row>
    <row r="64" spans="2:10" ht="15" hidden="1" x14ac:dyDescent="0.35">
      <c r="B64" s="5"/>
      <c r="D64" s="5" t="s">
        <v>122</v>
      </c>
      <c r="F64" s="6">
        <f>SUM(F60:F63)</f>
        <v>0</v>
      </c>
      <c r="G64" s="6">
        <f>SUM(G60:G63)</f>
        <v>0</v>
      </c>
      <c r="H64" s="6">
        <f>SUM(H60:H63)</f>
        <v>0</v>
      </c>
      <c r="I64" s="6">
        <f>SUM(I60:I63)</f>
        <v>0</v>
      </c>
      <c r="J64" s="6">
        <f>SUM(J60:J63)</f>
        <v>0</v>
      </c>
    </row>
    <row r="65" spans="2:10" hidden="1" x14ac:dyDescent="0.2">
      <c r="B65" s="5"/>
      <c r="C65" t="s">
        <v>13</v>
      </c>
      <c r="D65" s="5"/>
      <c r="F65" s="14" t="e">
        <f>10*F7*0</f>
        <v>#REF!</v>
      </c>
      <c r="G65" s="14" t="e">
        <f>10*G7*Inf*0</f>
        <v>#REF!</v>
      </c>
      <c r="H65" s="14" t="e">
        <f>10*H7*Inf^2*0</f>
        <v>#REF!</v>
      </c>
      <c r="I65" s="14">
        <v>0</v>
      </c>
      <c r="J65" s="14">
        <v>0</v>
      </c>
    </row>
    <row r="66" spans="2:10" hidden="1" x14ac:dyDescent="0.2">
      <c r="B66" s="5"/>
      <c r="C66" t="s">
        <v>120</v>
      </c>
      <c r="D66" s="5"/>
      <c r="F66" s="14" t="e">
        <f>3*F7*0</f>
        <v>#REF!</v>
      </c>
      <c r="G66" s="14" t="e">
        <f>3*G7*Inf*0</f>
        <v>#REF!</v>
      </c>
      <c r="H66" s="14" t="e">
        <f>3*H7*Inf^2*0</f>
        <v>#REF!</v>
      </c>
      <c r="I66" s="14">
        <v>0</v>
      </c>
      <c r="J66" s="14">
        <v>0</v>
      </c>
    </row>
    <row r="67" spans="2:10" ht="15" hidden="1" x14ac:dyDescent="0.35">
      <c r="B67" s="5"/>
      <c r="C67" t="s">
        <v>119</v>
      </c>
      <c r="F67" s="4" t="e">
        <f>10*F7*0</f>
        <v>#REF!</v>
      </c>
      <c r="G67" s="4" t="e">
        <f>10*G7*Inf*0</f>
        <v>#REF!</v>
      </c>
      <c r="H67" s="4" t="e">
        <f>10*H7*Inf^2*0</f>
        <v>#REF!</v>
      </c>
      <c r="I67" s="4">
        <v>0</v>
      </c>
      <c r="J67" s="4">
        <v>0</v>
      </c>
    </row>
    <row r="68" spans="2:10" ht="15" hidden="1" x14ac:dyDescent="0.35">
      <c r="B68" s="5"/>
      <c r="D68" s="5" t="s">
        <v>123</v>
      </c>
      <c r="F68" s="6" t="e">
        <f>SUM(F65:F67)</f>
        <v>#REF!</v>
      </c>
      <c r="G68" s="6" t="e">
        <f>SUM(G65:G67)</f>
        <v>#REF!</v>
      </c>
      <c r="H68" s="6" t="e">
        <f>SUM(H65:H67)</f>
        <v>#REF!</v>
      </c>
      <c r="I68" s="6">
        <f>SUM(I65:I67)</f>
        <v>0</v>
      </c>
      <c r="J68" s="6">
        <f>SUM(J65:J67)</f>
        <v>0</v>
      </c>
    </row>
    <row r="69" spans="2:10" ht="15" hidden="1" x14ac:dyDescent="0.35">
      <c r="B69" s="5" t="s">
        <v>124</v>
      </c>
      <c r="F69" s="6" t="e">
        <f>+F59+F64+F68</f>
        <v>#REF!</v>
      </c>
      <c r="G69" s="6" t="e">
        <f>+G59+G64+G68</f>
        <v>#REF!</v>
      </c>
      <c r="H69" s="6" t="e">
        <f>+H59+H64+H68</f>
        <v>#REF!</v>
      </c>
      <c r="I69" s="6">
        <f>+I59+I64+I68</f>
        <v>0</v>
      </c>
      <c r="J69" s="6">
        <f>+J59+J64+J68</f>
        <v>0</v>
      </c>
    </row>
    <row r="70" spans="2:10" hidden="1" x14ac:dyDescent="0.2"/>
    <row r="71" spans="2:10" hidden="1" x14ac:dyDescent="0.2">
      <c r="B71" s="5" t="s">
        <v>91</v>
      </c>
      <c r="I71"/>
      <c r="J71"/>
    </row>
    <row r="72" spans="2:10" ht="15" hidden="1" x14ac:dyDescent="0.35">
      <c r="C72" s="5" t="s">
        <v>11</v>
      </c>
      <c r="D72" s="5"/>
      <c r="E72" s="3" t="s">
        <v>54</v>
      </c>
      <c r="F72" s="6">
        <v>0</v>
      </c>
      <c r="G72" s="6">
        <f>+F72*Inf*0</f>
        <v>0</v>
      </c>
      <c r="H72" s="6">
        <f>+G72*Inf</f>
        <v>0</v>
      </c>
      <c r="I72" s="6">
        <f>+H72*Inf</f>
        <v>0</v>
      </c>
      <c r="J72" s="6">
        <f>+I72*Inf</f>
        <v>0</v>
      </c>
    </row>
    <row r="73" spans="2:10" hidden="1" x14ac:dyDescent="0.2">
      <c r="E73"/>
      <c r="F73"/>
      <c r="G73"/>
      <c r="H73"/>
      <c r="I73"/>
      <c r="J73"/>
    </row>
    <row r="74" spans="2:10" hidden="1" x14ac:dyDescent="0.2">
      <c r="B74" s="5" t="s">
        <v>19</v>
      </c>
    </row>
    <row r="75" spans="2:10" ht="15" hidden="1" x14ac:dyDescent="0.35">
      <c r="C75" s="5" t="s">
        <v>11</v>
      </c>
      <c r="D75" s="5"/>
      <c r="E75" s="3" t="s">
        <v>54</v>
      </c>
      <c r="F75" s="6">
        <v>0</v>
      </c>
      <c r="G75" s="6">
        <f>+F75*Inf</f>
        <v>0</v>
      </c>
      <c r="H75" s="6">
        <f>+G75*Inf</f>
        <v>0</v>
      </c>
      <c r="I75" s="6">
        <f>+H75*Inf</f>
        <v>0</v>
      </c>
      <c r="J75" s="6">
        <f>+I75*Inf</f>
        <v>0</v>
      </c>
    </row>
    <row r="76" spans="2:10" hidden="1" x14ac:dyDescent="0.2"/>
    <row r="77" spans="2:10" hidden="1" x14ac:dyDescent="0.2">
      <c r="B77" s="5" t="s">
        <v>24</v>
      </c>
    </row>
    <row r="78" spans="2:10" hidden="1" x14ac:dyDescent="0.2">
      <c r="C78" t="s">
        <v>20</v>
      </c>
      <c r="E78" s="3" t="s">
        <v>54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</row>
    <row r="79" spans="2:10" hidden="1" x14ac:dyDescent="0.2">
      <c r="C79" t="s">
        <v>157</v>
      </c>
      <c r="E79" s="3" t="s">
        <v>54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</row>
    <row r="80" spans="2:10" hidden="1" x14ac:dyDescent="0.2">
      <c r="C80" t="s">
        <v>76</v>
      </c>
      <c r="E80" s="3" t="s">
        <v>54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</row>
    <row r="81" spans="2:10" hidden="1" x14ac:dyDescent="0.2">
      <c r="C81" t="s">
        <v>93</v>
      </c>
      <c r="E81" s="3" t="s">
        <v>54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</row>
    <row r="82" spans="2:10" hidden="1" x14ac:dyDescent="0.2">
      <c r="C82" t="s">
        <v>12</v>
      </c>
      <c r="E82" s="3" t="s">
        <v>54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</row>
    <row r="83" spans="2:10" hidden="1" x14ac:dyDescent="0.2">
      <c r="C83" t="s">
        <v>21</v>
      </c>
      <c r="E83" s="3" t="s">
        <v>54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</row>
    <row r="84" spans="2:10" hidden="1" x14ac:dyDescent="0.2">
      <c r="C84" t="s">
        <v>22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</row>
    <row r="85" spans="2:10" ht="15" hidden="1" x14ac:dyDescent="0.35">
      <c r="C85" t="s">
        <v>92</v>
      </c>
      <c r="E85" s="16">
        <v>0.03</v>
      </c>
      <c r="F85" s="4">
        <f>0.03*F14</f>
        <v>0</v>
      </c>
      <c r="G85" s="4">
        <f>0.03*G14</f>
        <v>0</v>
      </c>
      <c r="H85" s="4">
        <f>0.033348*H14</f>
        <v>0</v>
      </c>
      <c r="I85" s="4">
        <f>0.033348*I14</f>
        <v>0</v>
      </c>
      <c r="J85" s="4">
        <f>0.033348*J14</f>
        <v>0</v>
      </c>
    </row>
    <row r="86" spans="2:10" ht="15" hidden="1" x14ac:dyDescent="0.35">
      <c r="B86" s="5" t="s">
        <v>23</v>
      </c>
      <c r="C86" s="5"/>
      <c r="D86" s="5"/>
      <c r="E86" s="9"/>
      <c r="F86" s="6">
        <f>SUM(F78:F85)</f>
        <v>0</v>
      </c>
      <c r="G86" s="6">
        <f>SUM(G78:G85)</f>
        <v>0</v>
      </c>
      <c r="H86" s="6">
        <f>SUM(H78:H85)</f>
        <v>0</v>
      </c>
      <c r="I86" s="6">
        <f>SUM(I78:I85)</f>
        <v>0</v>
      </c>
      <c r="J86" s="6">
        <f>SUM(J78:J85)</f>
        <v>0</v>
      </c>
    </row>
    <row r="87" spans="2:10" hidden="1" x14ac:dyDescent="0.2">
      <c r="F87" s="3"/>
      <c r="G87" s="3"/>
    </row>
    <row r="88" spans="2:10" hidden="1" x14ac:dyDescent="0.2">
      <c r="B88" s="5" t="s">
        <v>26</v>
      </c>
      <c r="F88" s="3"/>
      <c r="G88" s="3"/>
    </row>
    <row r="89" spans="2:10" hidden="1" x14ac:dyDescent="0.2">
      <c r="C89" t="s">
        <v>131</v>
      </c>
      <c r="E89" s="3" t="s">
        <v>135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</row>
    <row r="90" spans="2:10" hidden="1" x14ac:dyDescent="0.2">
      <c r="C90" t="s">
        <v>132</v>
      </c>
      <c r="E90" s="3" t="s">
        <v>145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</row>
    <row r="91" spans="2:10" hidden="1" x14ac:dyDescent="0.2">
      <c r="C91" t="s">
        <v>133</v>
      </c>
      <c r="E91" s="3" t="s">
        <v>136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</row>
    <row r="92" spans="2:10" ht="15" hidden="1" x14ac:dyDescent="0.35">
      <c r="C92" t="s">
        <v>134</v>
      </c>
      <c r="E92" s="3" t="s">
        <v>135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</row>
    <row r="93" spans="2:10" ht="15" hidden="1" x14ac:dyDescent="0.35">
      <c r="D93" s="5" t="s">
        <v>27</v>
      </c>
      <c r="E93" s="9"/>
      <c r="F93" s="6">
        <f>SUM(F89:F92)</f>
        <v>0</v>
      </c>
      <c r="G93" s="6">
        <f>SUM(G89:G92)</f>
        <v>0</v>
      </c>
      <c r="H93" s="6">
        <f>SUM(H89:H92)</f>
        <v>0</v>
      </c>
      <c r="I93" s="6">
        <f>SUM(I89:I92)</f>
        <v>0</v>
      </c>
      <c r="J93" s="6">
        <f>SUM(J89:J92)</f>
        <v>0</v>
      </c>
    </row>
    <row r="94" spans="2:10" hidden="1" x14ac:dyDescent="0.2">
      <c r="C94" t="s">
        <v>7</v>
      </c>
      <c r="E94" s="13">
        <v>1.4999999999999999E-2</v>
      </c>
      <c r="F94" s="14">
        <f>+F93*0.015</f>
        <v>0</v>
      </c>
      <c r="G94" s="14">
        <f>+G93*0.015</f>
        <v>0</v>
      </c>
      <c r="H94" s="14">
        <f>+H93*0.015</f>
        <v>0</v>
      </c>
      <c r="I94" s="14">
        <f>+I93*0.015</f>
        <v>0</v>
      </c>
      <c r="J94" s="14">
        <f>+J93*0.015</f>
        <v>0</v>
      </c>
    </row>
    <row r="95" spans="2:10" hidden="1" x14ac:dyDescent="0.2">
      <c r="C95" t="s">
        <v>8</v>
      </c>
      <c r="E95" s="3" t="s">
        <v>52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</row>
    <row r="96" spans="2:10" hidden="1" x14ac:dyDescent="0.2">
      <c r="C96" t="s">
        <v>9</v>
      </c>
      <c r="E96" s="3" t="str">
        <f>CONCATENATE(ins," per month per employee")</f>
        <v>266.666666666666 per month per employee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</row>
    <row r="97" spans="2:10" ht="15" hidden="1" x14ac:dyDescent="0.35">
      <c r="C97" t="s">
        <v>10</v>
      </c>
      <c r="E97" s="11" t="s">
        <v>53</v>
      </c>
      <c r="F97" s="4">
        <f>+F93*0.01</f>
        <v>0</v>
      </c>
      <c r="G97" s="4">
        <f>+G93*0.01</f>
        <v>0</v>
      </c>
      <c r="H97" s="4">
        <f>+H93*0.01</f>
        <v>0</v>
      </c>
      <c r="I97" s="4">
        <f>+I93*0.01</f>
        <v>0</v>
      </c>
      <c r="J97" s="4">
        <f>+J93*0.01</f>
        <v>0</v>
      </c>
    </row>
    <row r="98" spans="2:10" ht="15" hidden="1" x14ac:dyDescent="0.35">
      <c r="D98" s="5" t="s">
        <v>28</v>
      </c>
      <c r="E98" s="9"/>
      <c r="F98" s="6">
        <f>SUM(F94:F97)</f>
        <v>0</v>
      </c>
      <c r="G98" s="6">
        <f>SUM(G94:G97)</f>
        <v>0</v>
      </c>
      <c r="H98" s="6">
        <f>SUM(H94:H97)</f>
        <v>0</v>
      </c>
      <c r="I98" s="6">
        <f>SUM(I94:I97)</f>
        <v>0</v>
      </c>
      <c r="J98" s="6">
        <f>SUM(J94:J97)</f>
        <v>0</v>
      </c>
    </row>
    <row r="99" spans="2:10" hidden="1" x14ac:dyDescent="0.2">
      <c r="C99" t="s">
        <v>12</v>
      </c>
      <c r="E99" s="3" t="s">
        <v>54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</row>
    <row r="100" spans="2:10" hidden="1" x14ac:dyDescent="0.2">
      <c r="C100" t="s">
        <v>29</v>
      </c>
      <c r="E100" s="3" t="s">
        <v>138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</row>
    <row r="101" spans="2:10" hidden="1" x14ac:dyDescent="0.2">
      <c r="C101" t="s">
        <v>30</v>
      </c>
      <c r="E101" s="3" t="s">
        <v>54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</row>
    <row r="102" spans="2:10" hidden="1" x14ac:dyDescent="0.2">
      <c r="C102" t="s">
        <v>73</v>
      </c>
      <c r="E102" s="3" t="s">
        <v>54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</row>
    <row r="103" spans="2:10" hidden="1" x14ac:dyDescent="0.2">
      <c r="C103" t="s">
        <v>13</v>
      </c>
      <c r="E103" s="3" t="s">
        <v>54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</row>
    <row r="104" spans="2:10" hidden="1" x14ac:dyDescent="0.2">
      <c r="C104" t="s">
        <v>15</v>
      </c>
      <c r="E104" s="3" t="s">
        <v>54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</row>
    <row r="105" spans="2:10" ht="15" hidden="1" x14ac:dyDescent="0.35">
      <c r="C105" t="s">
        <v>16</v>
      </c>
      <c r="E105" s="3" t="s">
        <v>54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</row>
    <row r="106" spans="2:10" ht="15" hidden="1" x14ac:dyDescent="0.35">
      <c r="B106" s="5"/>
      <c r="C106" s="5"/>
      <c r="D106" s="5" t="s">
        <v>31</v>
      </c>
      <c r="E106" s="9"/>
      <c r="F106" s="6">
        <f>SUM(F99:F105)</f>
        <v>0</v>
      </c>
      <c r="G106" s="6">
        <f>SUM(G99:G105)</f>
        <v>0</v>
      </c>
      <c r="H106" s="6">
        <f>SUM(H99:H105)</f>
        <v>0</v>
      </c>
      <c r="I106" s="6">
        <f>SUM(I99:I105)</f>
        <v>0</v>
      </c>
      <c r="J106" s="6">
        <f>SUM(J99:J105)</f>
        <v>0</v>
      </c>
    </row>
    <row r="107" spans="2:10" ht="15" hidden="1" x14ac:dyDescent="0.35">
      <c r="B107" s="5" t="s">
        <v>32</v>
      </c>
      <c r="C107" s="5"/>
      <c r="D107" s="5"/>
      <c r="E107" s="9"/>
      <c r="F107" s="6">
        <f>SUM(F106,F98,F93)</f>
        <v>0</v>
      </c>
      <c r="G107" s="6">
        <f>SUM(G106,G98,G93)</f>
        <v>0</v>
      </c>
      <c r="H107" s="6">
        <f>SUM(H106,H98,H93)</f>
        <v>0</v>
      </c>
      <c r="I107" s="6">
        <f>SUM(I106,I98,I93)</f>
        <v>0</v>
      </c>
      <c r="J107" s="6">
        <f>SUM(J106,J98,J93)</f>
        <v>0</v>
      </c>
    </row>
    <row r="108" spans="2:10" hidden="1" x14ac:dyDescent="0.2"/>
    <row r="109" spans="2:10" hidden="1" x14ac:dyDescent="0.2">
      <c r="B109" s="5" t="s">
        <v>50</v>
      </c>
    </row>
    <row r="110" spans="2:10" hidden="1" x14ac:dyDescent="0.2">
      <c r="B110" s="5"/>
      <c r="C110" t="s">
        <v>33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</row>
    <row r="111" spans="2:10" hidden="1" x14ac:dyDescent="0.2">
      <c r="B111" s="5"/>
      <c r="C111" t="s">
        <v>78</v>
      </c>
      <c r="E111" s="3" t="s">
        <v>139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</row>
    <row r="112" spans="2:10" ht="15" hidden="1" x14ac:dyDescent="0.35">
      <c r="B112" s="5"/>
      <c r="C112" t="s">
        <v>79</v>
      </c>
      <c r="E112" s="3" t="s">
        <v>54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</row>
    <row r="113" spans="2:10" ht="15" hidden="1" x14ac:dyDescent="0.35">
      <c r="B113" s="5" t="s">
        <v>77</v>
      </c>
      <c r="C113" s="5"/>
      <c r="D113" s="5"/>
      <c r="E113" s="9"/>
      <c r="F113" s="6">
        <f>SUM(F110:F112)</f>
        <v>0</v>
      </c>
      <c r="G113" s="6">
        <f>SUM(G110:G112)</f>
        <v>0</v>
      </c>
      <c r="H113" s="6">
        <f>SUM(H110:H112)</f>
        <v>0</v>
      </c>
      <c r="I113" s="6">
        <f>SUM(I110:I112)</f>
        <v>0</v>
      </c>
      <c r="J113" s="6">
        <f>SUM(J110:J112)</f>
        <v>0</v>
      </c>
    </row>
    <row r="114" spans="2:10" hidden="1" x14ac:dyDescent="0.2"/>
    <row r="115" spans="2:10" hidden="1" x14ac:dyDescent="0.2">
      <c r="B115" s="5" t="s">
        <v>34</v>
      </c>
    </row>
    <row r="116" spans="2:10" hidden="1" x14ac:dyDescent="0.2">
      <c r="C116" t="s">
        <v>46</v>
      </c>
      <c r="E116" s="11" t="s">
        <v>85</v>
      </c>
      <c r="F116" s="14">
        <f>IF(Misc!B25=0,('Inst Mat'!F13-F84)*0.03,150000+Misc!B25)*0</f>
        <v>0</v>
      </c>
      <c r="G116" s="14" t="e">
        <f>IF(Misc!C25=0,('Inst Mat'!G13-G84)*0.03,150000+Misc!C25)*0</f>
        <v>#REF!</v>
      </c>
      <c r="H116" s="14" t="e">
        <f>IF(Misc!D25=0,('Inst Mat'!H13-H84)*0.03,150000+Misc!D25)*0</f>
        <v>#REF!</v>
      </c>
      <c r="I116" s="14" t="e">
        <f>IF(Misc!E25=0,('Inst Mat'!I13-I84)*0.03,150000+Misc!E25)*0</f>
        <v>#REF!</v>
      </c>
      <c r="J116" s="14" t="e">
        <f>IF(Misc!F25=0,('Inst Mat'!J13-J84)*0.03,150000+Misc!F25)*0</f>
        <v>#REF!</v>
      </c>
    </row>
    <row r="117" spans="2:10" ht="15" hidden="1" x14ac:dyDescent="0.35">
      <c r="C117" t="s">
        <v>47</v>
      </c>
      <c r="E117" s="11" t="s">
        <v>86</v>
      </c>
      <c r="F117" s="4">
        <f>0.0325*(F25+F73+F93)*0</f>
        <v>0</v>
      </c>
      <c r="G117" s="4">
        <f>0.0325*(G25+G73+G93)*0</f>
        <v>0</v>
      </c>
      <c r="H117" s="4">
        <f>0.0325*(H25+H73+H93)*0</f>
        <v>0</v>
      </c>
      <c r="I117" s="4">
        <f>0.0325*(I25+I73+I93)*0</f>
        <v>0</v>
      </c>
      <c r="J117" s="4">
        <f>0.0325*(J25+J73+J93)*0</f>
        <v>0</v>
      </c>
    </row>
    <row r="118" spans="2:10" ht="15" hidden="1" x14ac:dyDescent="0.35">
      <c r="B118" s="5" t="s">
        <v>48</v>
      </c>
      <c r="C118" s="5"/>
      <c r="D118" s="5"/>
      <c r="E118" s="9"/>
      <c r="F118" s="6">
        <f>SUM(F116:F117)</f>
        <v>0</v>
      </c>
      <c r="G118" s="6" t="e">
        <f>SUM(G116:G117)</f>
        <v>#REF!</v>
      </c>
      <c r="H118" s="6" t="e">
        <f>SUM(H116:H117)</f>
        <v>#REF!</v>
      </c>
      <c r="I118" s="6" t="e">
        <f>SUM(I116:I117)</f>
        <v>#REF!</v>
      </c>
      <c r="J118" s="6" t="e">
        <f>SUM(J116:J117)</f>
        <v>#REF!</v>
      </c>
    </row>
    <row r="119" spans="2:10" ht="15" hidden="1" x14ac:dyDescent="0.35">
      <c r="B119" s="5"/>
      <c r="C119" s="5"/>
      <c r="D119" s="5"/>
      <c r="E119" s="9"/>
      <c r="F119" s="6"/>
      <c r="G119" s="6"/>
      <c r="H119" s="6"/>
      <c r="I119" s="6"/>
      <c r="J119" s="6"/>
    </row>
    <row r="120" spans="2:10" hidden="1" x14ac:dyDescent="0.2">
      <c r="B120" s="5" t="s">
        <v>80</v>
      </c>
    </row>
    <row r="121" spans="2:10" ht="15" hidden="1" x14ac:dyDescent="0.35">
      <c r="C121" t="s">
        <v>147</v>
      </c>
      <c r="E121" s="3" t="s">
        <v>135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</row>
    <row r="122" spans="2:10" ht="15" hidden="1" x14ac:dyDescent="0.35">
      <c r="D122" s="5" t="s">
        <v>148</v>
      </c>
      <c r="E122" s="9"/>
      <c r="F122" s="6">
        <f>SUM(F121)</f>
        <v>0</v>
      </c>
      <c r="G122" s="6">
        <f>SUM(G121)</f>
        <v>0</v>
      </c>
      <c r="H122" s="6">
        <f>SUM(H121)</f>
        <v>0</v>
      </c>
      <c r="I122" s="6">
        <f>SUM(I121)</f>
        <v>0</v>
      </c>
      <c r="J122" s="6">
        <f>SUM(J121)</f>
        <v>0</v>
      </c>
    </row>
    <row r="123" spans="2:10" hidden="1" x14ac:dyDescent="0.2">
      <c r="C123" t="s">
        <v>7</v>
      </c>
      <c r="E123" s="13">
        <v>1.4999999999999999E-2</v>
      </c>
      <c r="F123" s="14">
        <f>+F122*0.015</f>
        <v>0</v>
      </c>
      <c r="G123" s="14">
        <f>+G122*0.015</f>
        <v>0</v>
      </c>
      <c r="H123" s="14">
        <f>+H122*0.015</f>
        <v>0</v>
      </c>
      <c r="I123" s="14">
        <f>+I122*0.015</f>
        <v>0</v>
      </c>
      <c r="J123" s="14">
        <f>+J122*0.015</f>
        <v>0</v>
      </c>
    </row>
    <row r="124" spans="2:10" hidden="1" x14ac:dyDescent="0.2">
      <c r="C124" t="s">
        <v>8</v>
      </c>
      <c r="E124" s="3" t="s">
        <v>52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</row>
    <row r="125" spans="2:10" hidden="1" x14ac:dyDescent="0.2">
      <c r="C125" t="s">
        <v>9</v>
      </c>
      <c r="E125" s="3" t="str">
        <f>CONCATENATE(ins," per month per employee")</f>
        <v>266.666666666666 per month per employee</v>
      </c>
      <c r="F125" s="14">
        <f>2*ins*12*0</f>
        <v>0</v>
      </c>
      <c r="G125" s="14">
        <f>2*ins*12*Inf*0</f>
        <v>0</v>
      </c>
      <c r="H125" s="14">
        <f>2*ins*12*Inf^2*0</f>
        <v>0</v>
      </c>
      <c r="I125" s="14">
        <f>2*ins*12*Inf^3*0</f>
        <v>0</v>
      </c>
      <c r="J125" s="14">
        <f>2*ins*12*Inf^4*0</f>
        <v>0</v>
      </c>
    </row>
    <row r="126" spans="2:10" ht="15" hidden="1" x14ac:dyDescent="0.35">
      <c r="C126" t="s">
        <v>10</v>
      </c>
      <c r="E126" s="11" t="s">
        <v>53</v>
      </c>
      <c r="F126" s="4">
        <f>+F122*0.01</f>
        <v>0</v>
      </c>
      <c r="G126" s="4">
        <f>+G122*0.01</f>
        <v>0</v>
      </c>
      <c r="H126" s="4">
        <f>+H122*0.01</f>
        <v>0</v>
      </c>
      <c r="I126" s="4">
        <f>+I122*0.01</f>
        <v>0</v>
      </c>
      <c r="J126" s="4">
        <f>+J122*0.01</f>
        <v>0</v>
      </c>
    </row>
    <row r="127" spans="2:10" ht="15" hidden="1" x14ac:dyDescent="0.35">
      <c r="D127" s="5" t="s">
        <v>149</v>
      </c>
      <c r="E127" s="9"/>
      <c r="F127" s="6">
        <f>SUM(F123:F126)</f>
        <v>0</v>
      </c>
      <c r="G127" s="6">
        <f>SUM(G123:G126)</f>
        <v>0</v>
      </c>
      <c r="H127" s="6">
        <f>SUM(H123:H126)</f>
        <v>0</v>
      </c>
      <c r="I127" s="6">
        <f>SUM(I123:I126)</f>
        <v>0</v>
      </c>
      <c r="J127" s="6">
        <f>SUM(J123:J126)</f>
        <v>0</v>
      </c>
    </row>
    <row r="128" spans="2:10" ht="15" hidden="1" x14ac:dyDescent="0.35">
      <c r="B128" s="5"/>
      <c r="C128" t="s">
        <v>11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</row>
    <row r="129" spans="2:10" ht="15" hidden="1" x14ac:dyDescent="0.35">
      <c r="D129" s="5" t="s">
        <v>150</v>
      </c>
      <c r="E129" s="9"/>
      <c r="F129" s="6">
        <f>SUM(F128)</f>
        <v>0</v>
      </c>
      <c r="G129" s="6">
        <f>SUM(G128)</f>
        <v>0</v>
      </c>
      <c r="H129" s="6">
        <f>SUM(H128)</f>
        <v>0</v>
      </c>
      <c r="I129" s="6">
        <f>SUM(I128)</f>
        <v>0</v>
      </c>
      <c r="J129" s="6">
        <f>SUM(J128)</f>
        <v>0</v>
      </c>
    </row>
    <row r="130" spans="2:10" ht="15" hidden="1" x14ac:dyDescent="0.35">
      <c r="B130" s="5" t="s">
        <v>151</v>
      </c>
      <c r="C130" s="5"/>
      <c r="D130" s="5"/>
      <c r="E130" s="3" t="s">
        <v>141</v>
      </c>
      <c r="F130" s="6">
        <f>+F122+F127+F129</f>
        <v>0</v>
      </c>
      <c r="G130" s="6">
        <f>+G122+G127+G129</f>
        <v>0</v>
      </c>
      <c r="H130" s="6">
        <f>+H122+H127+H129</f>
        <v>0</v>
      </c>
      <c r="I130" s="6">
        <f>+I122+I127+I129</f>
        <v>0</v>
      </c>
      <c r="J130" s="6">
        <f>+J122+J127+J129</f>
        <v>0</v>
      </c>
    </row>
    <row r="131" spans="2:10" hidden="1" x14ac:dyDescent="0.2"/>
    <row r="132" spans="2:10" hidden="1" x14ac:dyDescent="0.2">
      <c r="B132" s="5" t="s">
        <v>35</v>
      </c>
    </row>
    <row r="133" spans="2:10" ht="15" hidden="1" x14ac:dyDescent="0.35">
      <c r="C133" s="5" t="s">
        <v>11</v>
      </c>
      <c r="D133" s="5"/>
      <c r="E133" s="3" t="s">
        <v>108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</row>
    <row r="134" spans="2:10" hidden="1" x14ac:dyDescent="0.2"/>
    <row r="135" spans="2:10" hidden="1" x14ac:dyDescent="0.2">
      <c r="B135" s="5" t="s">
        <v>36</v>
      </c>
    </row>
    <row r="136" spans="2:10" ht="15" hidden="1" x14ac:dyDescent="0.35">
      <c r="C136" t="s">
        <v>152</v>
      </c>
      <c r="E136" s="3" t="s">
        <v>135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</row>
    <row r="137" spans="2:10" ht="15" hidden="1" x14ac:dyDescent="0.35">
      <c r="D137" s="5" t="s">
        <v>153</v>
      </c>
      <c r="E137" s="9"/>
      <c r="F137" s="6">
        <f>SUM(F136)</f>
        <v>0</v>
      </c>
      <c r="G137" s="6">
        <f>SUM(G136)</f>
        <v>0</v>
      </c>
      <c r="H137" s="6">
        <f>SUM(H136)</f>
        <v>0</v>
      </c>
      <c r="I137" s="6">
        <f>SUM(I136)</f>
        <v>0</v>
      </c>
      <c r="J137" s="6">
        <f>SUM(J136)</f>
        <v>0</v>
      </c>
    </row>
    <row r="138" spans="2:10" hidden="1" x14ac:dyDescent="0.2">
      <c r="C138" t="s">
        <v>7</v>
      </c>
      <c r="E138" s="13">
        <v>1.4999999999999999E-2</v>
      </c>
      <c r="F138" s="14">
        <f>+F137*0.015</f>
        <v>0</v>
      </c>
      <c r="G138" s="14">
        <f>+G137*0.015</f>
        <v>0</v>
      </c>
      <c r="H138" s="14">
        <f>+H137*0.015</f>
        <v>0</v>
      </c>
      <c r="I138" s="14">
        <f>+I137*0.015</f>
        <v>0</v>
      </c>
      <c r="J138" s="14">
        <f>+J137*0.015</f>
        <v>0</v>
      </c>
    </row>
    <row r="139" spans="2:10" hidden="1" x14ac:dyDescent="0.2">
      <c r="C139" t="s">
        <v>8</v>
      </c>
      <c r="E139" s="3" t="s">
        <v>52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</row>
    <row r="140" spans="2:10" hidden="1" x14ac:dyDescent="0.2">
      <c r="C140" t="s">
        <v>9</v>
      </c>
      <c r="E140" s="3" t="str">
        <f>CONCATENATE(ins," per month per employee")</f>
        <v>266.666666666666 per month per employee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</row>
    <row r="141" spans="2:10" ht="15" hidden="1" x14ac:dyDescent="0.35">
      <c r="C141" t="s">
        <v>10</v>
      </c>
      <c r="E141" s="11" t="s">
        <v>53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</row>
    <row r="142" spans="2:10" ht="15" hidden="1" x14ac:dyDescent="0.35">
      <c r="D142" s="5" t="s">
        <v>154</v>
      </c>
      <c r="E142" s="9"/>
      <c r="F142" s="6">
        <f>SUM(F138:F141)</f>
        <v>0</v>
      </c>
      <c r="G142" s="6">
        <f>SUM(G138:G141)</f>
        <v>0</v>
      </c>
      <c r="H142" s="6">
        <f>SUM(H138:H141)</f>
        <v>0</v>
      </c>
      <c r="I142" s="6">
        <f>SUM(I138:I141)</f>
        <v>0</v>
      </c>
      <c r="J142" s="6">
        <f>SUM(J138:J141)</f>
        <v>0</v>
      </c>
    </row>
    <row r="143" spans="2:10" hidden="1" x14ac:dyDescent="0.2">
      <c r="C143" t="s">
        <v>11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</row>
    <row r="144" spans="2:10" hidden="1" x14ac:dyDescent="0.2">
      <c r="C144" t="s">
        <v>21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</row>
    <row r="145" spans="1:10" hidden="1" x14ac:dyDescent="0.2">
      <c r="C145" t="s">
        <v>37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</row>
    <row r="146" spans="1:10" hidden="1" x14ac:dyDescent="0.2">
      <c r="C146" t="s">
        <v>38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</row>
    <row r="147" spans="1:10" hidden="1" x14ac:dyDescent="0.2">
      <c r="C147" t="s">
        <v>13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</row>
    <row r="148" spans="1:10" ht="15" hidden="1" x14ac:dyDescent="0.35">
      <c r="C148" t="s">
        <v>15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</row>
    <row r="149" spans="1:10" ht="15" hidden="1" x14ac:dyDescent="0.35">
      <c r="D149" s="5" t="s">
        <v>155</v>
      </c>
      <c r="E149" s="9"/>
      <c r="F149" s="6">
        <f>SUM(F145:F148)</f>
        <v>0</v>
      </c>
      <c r="G149" s="6">
        <f>SUM(G145:G148)</f>
        <v>0</v>
      </c>
      <c r="H149" s="6">
        <f>SUM(H145:H148)</f>
        <v>0</v>
      </c>
      <c r="I149" s="6">
        <f>SUM(I145:I148)</f>
        <v>0</v>
      </c>
      <c r="J149" s="6">
        <f>SUM(J145:J148)</f>
        <v>0</v>
      </c>
    </row>
    <row r="150" spans="1:10" ht="15" hidden="1" x14ac:dyDescent="0.35">
      <c r="A150" s="5"/>
      <c r="B150" s="5" t="s">
        <v>39</v>
      </c>
      <c r="C150" s="5"/>
      <c r="D150" s="5"/>
      <c r="E150" s="9"/>
      <c r="F150" s="6">
        <f>+F137+F142+F149</f>
        <v>0</v>
      </c>
      <c r="G150" s="6">
        <f>+G137+G142+G149</f>
        <v>0</v>
      </c>
      <c r="H150" s="6">
        <f>+H137+H142+H149</f>
        <v>0</v>
      </c>
      <c r="I150" s="6">
        <f>+I137+I142+I149</f>
        <v>0</v>
      </c>
      <c r="J150" s="6">
        <f>+J137+J142+J149</f>
        <v>0</v>
      </c>
    </row>
    <row r="151" spans="1:10" ht="15" hidden="1" x14ac:dyDescent="0.35">
      <c r="A151" s="5"/>
      <c r="B151" s="5"/>
      <c r="C151" s="5"/>
      <c r="D151" s="5"/>
      <c r="E151" s="9"/>
      <c r="F151" s="6"/>
      <c r="G151" s="6"/>
      <c r="H151" s="6"/>
      <c r="I151" s="6"/>
      <c r="J151" s="6"/>
    </row>
    <row r="152" spans="1:10" ht="15" hidden="1" x14ac:dyDescent="0.35">
      <c r="A152" s="5"/>
      <c r="B152" s="5" t="s">
        <v>81</v>
      </c>
      <c r="C152" s="5"/>
      <c r="D152" s="5"/>
      <c r="E152" s="9"/>
      <c r="F152" s="6"/>
      <c r="G152" s="6"/>
      <c r="H152" s="6"/>
      <c r="I152" s="6"/>
      <c r="J152" s="6"/>
    </row>
    <row r="153" spans="1:10" hidden="1" x14ac:dyDescent="0.2">
      <c r="A153" s="5"/>
      <c r="B153" s="5"/>
      <c r="C153" t="s">
        <v>11</v>
      </c>
      <c r="D153" s="5"/>
      <c r="E153" s="9"/>
      <c r="F153" s="14">
        <v>0</v>
      </c>
      <c r="G153" s="14">
        <v>0</v>
      </c>
      <c r="H153" s="14">
        <v>0</v>
      </c>
      <c r="I153" s="14">
        <v>0</v>
      </c>
      <c r="J153" s="14">
        <v>0</v>
      </c>
    </row>
    <row r="154" spans="1:10" ht="15" hidden="1" x14ac:dyDescent="0.35">
      <c r="A154" s="5"/>
      <c r="B154" s="5"/>
      <c r="C154" t="s">
        <v>13</v>
      </c>
      <c r="D154" s="5"/>
      <c r="F154" s="10">
        <v>0</v>
      </c>
      <c r="G154" s="10">
        <v>0</v>
      </c>
      <c r="H154" s="10">
        <v>0</v>
      </c>
      <c r="I154" s="10">
        <v>0</v>
      </c>
      <c r="J154" s="10">
        <v>0</v>
      </c>
    </row>
    <row r="155" spans="1:10" ht="15" hidden="1" x14ac:dyDescent="0.35">
      <c r="A155" s="5"/>
      <c r="B155" s="5" t="s">
        <v>82</v>
      </c>
      <c r="C155" s="5"/>
      <c r="D155" s="5"/>
      <c r="E155" s="9"/>
      <c r="F155" s="6">
        <f>SUM(F153:F154)</f>
        <v>0</v>
      </c>
      <c r="G155" s="6">
        <f>SUM(G153:G154)</f>
        <v>0</v>
      </c>
      <c r="H155" s="6">
        <f>SUM(H153:H154)</f>
        <v>0</v>
      </c>
      <c r="I155" s="6">
        <f>SUM(I153:I154)</f>
        <v>0</v>
      </c>
      <c r="J155" s="6">
        <f>SUM(J153:J154)</f>
        <v>0</v>
      </c>
    </row>
    <row r="156" spans="1:10" x14ac:dyDescent="0.2">
      <c r="A156" s="5"/>
      <c r="B156" s="5"/>
      <c r="C156" s="5"/>
      <c r="D156" s="5"/>
      <c r="E156" s="9"/>
      <c r="F156" s="8"/>
      <c r="G156" s="8"/>
      <c r="H156" s="8"/>
      <c r="I156" s="8"/>
      <c r="J156" s="8"/>
    </row>
    <row r="157" spans="1:10" ht="15" x14ac:dyDescent="0.35">
      <c r="A157" s="5" t="s">
        <v>40</v>
      </c>
      <c r="B157" s="5"/>
      <c r="C157" s="5"/>
      <c r="D157" s="5"/>
      <c r="E157" s="9"/>
      <c r="F157" s="6" t="e">
        <f>SUM(F41,F54,F69,F72,F75,F86,F107,F113,F118,F130,F133,F150,F155)</f>
        <v>#REF!</v>
      </c>
      <c r="G157" s="6" t="e">
        <f>SUM(G41,G54,G69,G72,G75,G86,G107,G113,G118,G130,G133,G150,G155)</f>
        <v>#REF!</v>
      </c>
      <c r="H157" s="6" t="e">
        <f>SUM(H41,H54,H69,H72,H75,H86,H107,H113,H118,H130,H133,H150,H155)</f>
        <v>#REF!</v>
      </c>
      <c r="I157" s="6" t="e">
        <f>SUM(I41,I54,I69,I72,I75,I86,I107,I113,I118,I130,I133,I150,I155)</f>
        <v>#REF!</v>
      </c>
      <c r="J157" s="6" t="e">
        <f>SUM(J41,J54,J69,J72,J75,J86,J107,J113,J118,J130,J133,J150,J155)</f>
        <v>#REF!</v>
      </c>
    </row>
    <row r="159" spans="1:10" s="5" customFormat="1" ht="15" x14ac:dyDescent="0.35">
      <c r="A159" s="5" t="s">
        <v>83</v>
      </c>
      <c r="E159" s="9"/>
      <c r="F159" s="6" t="e">
        <f>+F18-F157</f>
        <v>#REF!</v>
      </c>
      <c r="G159" s="6" t="e">
        <f>+G18-G157</f>
        <v>#REF!</v>
      </c>
      <c r="H159" s="6" t="e">
        <f>+H18-H157</f>
        <v>#REF!</v>
      </c>
      <c r="I159" s="6" t="e">
        <f>+I18-I157</f>
        <v>#REF!</v>
      </c>
      <c r="J159" s="6" t="e">
        <f>+J18-J157</f>
        <v>#REF!</v>
      </c>
    </row>
    <row r="161" spans="1:10" ht="15" x14ac:dyDescent="0.35">
      <c r="A161" s="5" t="s">
        <v>104</v>
      </c>
      <c r="F161" s="7" t="e">
        <f>+F159</f>
        <v>#REF!</v>
      </c>
      <c r="G161" s="7" t="e">
        <f>+G10+G159</f>
        <v>#REF!</v>
      </c>
      <c r="H161" s="7" t="e">
        <f>+H10+H159</f>
        <v>#REF!</v>
      </c>
      <c r="I161" s="7" t="e">
        <f>+I10+I159</f>
        <v>#REF!</v>
      </c>
      <c r="J161" s="7" t="e">
        <f>+J10+J159</f>
        <v>#REF!</v>
      </c>
    </row>
  </sheetData>
  <mergeCells count="3">
    <mergeCell ref="A1:J1"/>
    <mergeCell ref="A2:J2"/>
    <mergeCell ref="A3:J3"/>
  </mergeCells>
  <phoneticPr fontId="0" type="noConversion"/>
  <printOptions horizontalCentered="1"/>
  <pageMargins left="0.25" right="0.25" top="0.5" bottom="0.5" header="0.5" footer="0.5"/>
  <pageSetup scale="91"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2"/>
  <sheetViews>
    <sheetView topLeftCell="A93" workbookViewId="0">
      <selection activeCell="M12" sqref="M12"/>
    </sheetView>
  </sheetViews>
  <sheetFormatPr defaultColWidth="8.7109375" defaultRowHeight="12.75" x14ac:dyDescent="0.2"/>
  <cols>
    <col min="1" max="3" width="2.7109375" customWidth="1"/>
    <col min="4" max="4" width="41.140625" customWidth="1"/>
    <col min="5" max="5" width="32.7109375" style="3" hidden="1" customWidth="1"/>
    <col min="6" max="6" width="14" style="14" hidden="1" customWidth="1"/>
    <col min="7" max="7" width="14.42578125" style="14" hidden="1" customWidth="1"/>
    <col min="8" max="8" width="14" style="14" hidden="1" customWidth="1"/>
    <col min="9" max="9" width="14.7109375" style="14" hidden="1" customWidth="1"/>
    <col min="10" max="10" width="14.140625" style="14" hidden="1" customWidth="1"/>
    <col min="11" max="11" width="14" style="14" customWidth="1"/>
    <col min="12" max="12" width="11.28515625" style="14" bestFit="1" customWidth="1"/>
    <col min="13" max="13" width="11.7109375" style="14" bestFit="1" customWidth="1"/>
    <col min="14" max="14" width="11.42578125" style="14" bestFit="1" customWidth="1"/>
    <col min="15" max="15" width="11.7109375" style="14" bestFit="1" customWidth="1"/>
  </cols>
  <sheetData>
    <row r="1" spans="1:15" x14ac:dyDescent="0.2">
      <c r="A1" s="19" t="s">
        <v>146</v>
      </c>
      <c r="B1" s="19"/>
      <c r="C1" s="19"/>
      <c r="D1" s="19"/>
      <c r="E1" s="19"/>
      <c r="F1" s="19"/>
      <c r="G1" s="19"/>
      <c r="H1" s="19"/>
      <c r="I1" s="19"/>
      <c r="J1" s="19"/>
      <c r="K1"/>
      <c r="L1"/>
      <c r="M1"/>
      <c r="N1"/>
      <c r="O1"/>
    </row>
    <row r="2" spans="1:15" x14ac:dyDescent="0.2">
      <c r="A2" s="19" t="s">
        <v>191</v>
      </c>
      <c r="B2" s="19"/>
      <c r="C2" s="19"/>
      <c r="D2" s="19"/>
      <c r="E2" s="19"/>
      <c r="F2" s="19"/>
      <c r="G2" s="19"/>
      <c r="H2" s="19"/>
      <c r="I2" s="19"/>
      <c r="J2" s="19"/>
      <c r="K2"/>
      <c r="L2"/>
      <c r="M2"/>
      <c r="N2"/>
      <c r="O2"/>
    </row>
    <row r="3" spans="1:15" x14ac:dyDescent="0.2">
      <c r="A3" s="19" t="s">
        <v>192</v>
      </c>
      <c r="B3" s="19"/>
      <c r="C3" s="19"/>
      <c r="D3" s="19"/>
      <c r="E3" s="19"/>
      <c r="F3" s="19"/>
      <c r="G3" s="19"/>
      <c r="H3" s="19"/>
      <c r="I3" s="19"/>
      <c r="J3" s="19"/>
      <c r="K3"/>
      <c r="L3"/>
      <c r="M3"/>
      <c r="N3"/>
      <c r="O3"/>
    </row>
    <row r="4" spans="1:15" x14ac:dyDescent="0.2">
      <c r="A4" s="9"/>
      <c r="B4" s="9"/>
      <c r="C4" s="9"/>
      <c r="D4" s="9"/>
      <c r="E4" s="9"/>
      <c r="F4" s="9"/>
      <c r="G4"/>
      <c r="H4"/>
      <c r="I4"/>
      <c r="J4"/>
      <c r="K4" s="9"/>
      <c r="L4" s="9"/>
      <c r="M4" s="9"/>
      <c r="N4" s="9"/>
      <c r="O4" s="9"/>
    </row>
    <row r="5" spans="1:15" x14ac:dyDescent="0.2">
      <c r="A5" s="9"/>
      <c r="B5" s="9"/>
      <c r="C5" s="9"/>
      <c r="D5" s="9"/>
      <c r="E5" s="12" t="s">
        <v>125</v>
      </c>
      <c r="F5" s="12" t="s">
        <v>58</v>
      </c>
      <c r="G5" s="12" t="s">
        <v>59</v>
      </c>
      <c r="H5" s="12" t="s">
        <v>62</v>
      </c>
      <c r="I5" s="12" t="s">
        <v>113</v>
      </c>
      <c r="J5" s="12" t="s">
        <v>144</v>
      </c>
      <c r="K5" s="12"/>
      <c r="L5" s="12" t="s">
        <v>182</v>
      </c>
      <c r="M5" s="12" t="s">
        <v>183</v>
      </c>
      <c r="N5" s="12" t="s">
        <v>184</v>
      </c>
      <c r="O5" s="12" t="s">
        <v>90</v>
      </c>
    </row>
    <row r="6" spans="1:15" x14ac:dyDescent="0.2">
      <c r="A6" s="9"/>
      <c r="B6" s="9"/>
      <c r="C6" s="9"/>
      <c r="D6" s="9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idden="1" x14ac:dyDescent="0.2">
      <c r="A7" s="5" t="s">
        <v>60</v>
      </c>
      <c r="F7" s="14" t="e">
        <f>+#REF!</f>
        <v>#REF!</v>
      </c>
      <c r="G7" s="14" t="e">
        <f>+#REF!</f>
        <v>#REF!</v>
      </c>
      <c r="H7" s="14" t="e">
        <f>+#REF!</f>
        <v>#REF!</v>
      </c>
      <c r="I7" s="14" t="e">
        <f>+#REF!</f>
        <v>#REF!</v>
      </c>
      <c r="J7" s="14" t="e">
        <f>+#REF!</f>
        <v>#REF!</v>
      </c>
    </row>
    <row r="8" spans="1:15" hidden="1" x14ac:dyDescent="0.2">
      <c r="A8" s="5"/>
    </row>
    <row r="9" spans="1:15" x14ac:dyDescent="0.2">
      <c r="A9" s="5"/>
    </row>
    <row r="10" spans="1:15" ht="15" x14ac:dyDescent="0.35">
      <c r="A10" s="5" t="s">
        <v>171</v>
      </c>
      <c r="F10" s="6">
        <v>0</v>
      </c>
      <c r="G10" s="6" t="e">
        <f>+F162</f>
        <v>#REF!</v>
      </c>
      <c r="H10" s="6" t="e">
        <f>+G162</f>
        <v>#REF!</v>
      </c>
      <c r="I10" s="6" t="e">
        <f>+H162</f>
        <v>#REF!</v>
      </c>
      <c r="J10" s="6" t="e">
        <f>+I162</f>
        <v>#REF!</v>
      </c>
      <c r="K10" s="6">
        <v>0</v>
      </c>
      <c r="L10" s="6">
        <v>0</v>
      </c>
      <c r="M10" s="6">
        <f>+L162</f>
        <v>0</v>
      </c>
      <c r="N10" s="6" t="e">
        <f>+M162</f>
        <v>#REF!</v>
      </c>
      <c r="O10" s="6">
        <f>+K10</f>
        <v>0</v>
      </c>
    </row>
    <row r="11" spans="1:15" x14ac:dyDescent="0.2"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5" x14ac:dyDescent="0.2">
      <c r="A12" s="5" t="s">
        <v>1</v>
      </c>
    </row>
    <row r="13" spans="1:15" hidden="1" x14ac:dyDescent="0.2">
      <c r="B13" t="s">
        <v>2</v>
      </c>
      <c r="E13" s="3" t="s">
        <v>51</v>
      </c>
      <c r="F13" s="14">
        <v>1030262.1000000001</v>
      </c>
      <c r="G13" s="14" t="e">
        <f>+F13/F7*G7*Inf</f>
        <v>#REF!</v>
      </c>
      <c r="H13" s="14" t="e">
        <f>+G13/G7*H7*Inf</f>
        <v>#REF!</v>
      </c>
      <c r="I13" s="14" t="e">
        <f>+H13/H7*I7*Inf</f>
        <v>#REF!</v>
      </c>
      <c r="J13" s="14" t="e">
        <f>+I13/I7*J7*Inf</f>
        <v>#REF!</v>
      </c>
      <c r="O13" s="14">
        <f>SUM(L13:N13)</f>
        <v>0</v>
      </c>
    </row>
    <row r="14" spans="1:15" x14ac:dyDescent="0.2">
      <c r="B14" t="s">
        <v>65</v>
      </c>
      <c r="F14" s="14">
        <v>137000</v>
      </c>
      <c r="G14" s="14">
        <f>F14-20000</f>
        <v>117000</v>
      </c>
      <c r="H14" s="14">
        <v>0</v>
      </c>
      <c r="I14" s="14">
        <v>0</v>
      </c>
      <c r="J14" s="14">
        <v>0</v>
      </c>
      <c r="K14" s="14" t="e">
        <f>+#REF!</f>
        <v>#REF!</v>
      </c>
      <c r="N14" s="14" t="e">
        <f>+K14</f>
        <v>#REF!</v>
      </c>
      <c r="O14" s="14" t="e">
        <f>SUM(L14:N14)</f>
        <v>#REF!</v>
      </c>
    </row>
    <row r="15" spans="1:15" ht="15" x14ac:dyDescent="0.35">
      <c r="B15" t="s">
        <v>190</v>
      </c>
      <c r="F15" s="14">
        <v>0</v>
      </c>
      <c r="G15" s="14">
        <v>0</v>
      </c>
      <c r="H15" s="14">
        <v>0</v>
      </c>
      <c r="I15" s="14" t="e">
        <f>+H7*300</f>
        <v>#REF!</v>
      </c>
      <c r="J15" s="14" t="e">
        <f>+I7*300</f>
        <v>#REF!</v>
      </c>
      <c r="L15" s="10">
        <v>10000</v>
      </c>
      <c r="M15" s="10">
        <v>40000</v>
      </c>
      <c r="N15" s="10">
        <v>5000</v>
      </c>
      <c r="O15" s="10">
        <f>SUM(L15:N15)</f>
        <v>55000</v>
      </c>
    </row>
    <row r="16" spans="1:15" hidden="1" x14ac:dyDescent="0.2">
      <c r="B16" t="s">
        <v>142</v>
      </c>
      <c r="F16" s="14" t="e">
        <f>2.5*F7*0.25*180*0</f>
        <v>#REF!</v>
      </c>
      <c r="G16" s="14" t="e">
        <f>1.25*G7/5*180*Inf</f>
        <v>#REF!</v>
      </c>
      <c r="H16" s="14" t="e">
        <f>1.25*H7/5*180*Inf^2</f>
        <v>#REF!</v>
      </c>
      <c r="I16" s="14" t="e">
        <f>1.25*I7/5*180*Inf^3</f>
        <v>#REF!</v>
      </c>
      <c r="J16" s="14" t="e">
        <f>1.25*J7/5*180*Inf^4</f>
        <v>#REF!</v>
      </c>
      <c r="O16" s="14">
        <f>SUM(L16:N16)</f>
        <v>0</v>
      </c>
    </row>
    <row r="17" spans="1:15" ht="15" hidden="1" x14ac:dyDescent="0.35">
      <c r="B17" t="s">
        <v>3</v>
      </c>
      <c r="E17" s="3" t="s">
        <v>63</v>
      </c>
      <c r="F17" s="4" t="e">
        <f>F7/2*350</f>
        <v>#REF!</v>
      </c>
      <c r="G17" s="4" t="e">
        <f>G7/2*350*Inf</f>
        <v>#REF!</v>
      </c>
      <c r="H17" s="4" t="e">
        <f>H7/2*350*Inf^2</f>
        <v>#REF!</v>
      </c>
      <c r="I17" s="4" t="e">
        <f>I7/2*350*Inf^3</f>
        <v>#REF!</v>
      </c>
      <c r="J17" s="4" t="e">
        <f>J7/2*350*Inf^4</f>
        <v>#REF!</v>
      </c>
      <c r="K17" s="4"/>
      <c r="L17" s="4"/>
      <c r="M17" s="4"/>
      <c r="N17" s="4"/>
      <c r="O17" s="14">
        <f>SUM(L17:N17)</f>
        <v>0</v>
      </c>
    </row>
    <row r="18" spans="1:15" s="5" customFormat="1" ht="15" x14ac:dyDescent="0.35">
      <c r="A18" s="5" t="s">
        <v>49</v>
      </c>
      <c r="E18" s="9"/>
      <c r="F18" s="6" t="e">
        <f t="shared" ref="F18:O18" si="0">SUM(F13:F17)</f>
        <v>#REF!</v>
      </c>
      <c r="G18" s="6" t="e">
        <f t="shared" si="0"/>
        <v>#REF!</v>
      </c>
      <c r="H18" s="6" t="e">
        <f t="shared" si="0"/>
        <v>#REF!</v>
      </c>
      <c r="I18" s="6" t="e">
        <f t="shared" si="0"/>
        <v>#REF!</v>
      </c>
      <c r="J18" s="6" t="e">
        <f t="shared" si="0"/>
        <v>#REF!</v>
      </c>
      <c r="K18" s="6" t="e">
        <f t="shared" si="0"/>
        <v>#REF!</v>
      </c>
      <c r="L18" s="6">
        <f t="shared" si="0"/>
        <v>10000</v>
      </c>
      <c r="M18" s="6">
        <f t="shared" si="0"/>
        <v>40000</v>
      </c>
      <c r="N18" s="6" t="e">
        <f t="shared" si="0"/>
        <v>#REF!</v>
      </c>
      <c r="O18" s="6" t="e">
        <f t="shared" si="0"/>
        <v>#REF!</v>
      </c>
    </row>
    <row r="20" spans="1:15" x14ac:dyDescent="0.2">
      <c r="A20" s="5" t="s">
        <v>4</v>
      </c>
    </row>
    <row r="21" spans="1:15" x14ac:dyDescent="0.2">
      <c r="B21" s="5" t="s">
        <v>5</v>
      </c>
    </row>
    <row r="22" spans="1:15" hidden="1" x14ac:dyDescent="0.2">
      <c r="B22" s="5"/>
      <c r="C22" t="s">
        <v>6</v>
      </c>
      <c r="E22" s="3" t="e">
        <f>CONCATENATE(#REF!+Misc!B5," @ ",Tchr)</f>
        <v>#REF!</v>
      </c>
      <c r="F22" s="14" t="e">
        <f>(#REF!+_add1)*Tchr</f>
        <v>#REF!</v>
      </c>
      <c r="G22" s="14" t="e">
        <f>(#REF!+_add2)*Tchr*Inf</f>
        <v>#REF!</v>
      </c>
      <c r="H22" s="14" t="e">
        <f>(#REF!+_add3)*Tchr*Inf^2</f>
        <v>#REF!</v>
      </c>
      <c r="I22" s="14" t="e">
        <f>(#REF!+_add4)*Tchr*Inf^3</f>
        <v>#REF!</v>
      </c>
      <c r="J22" s="14" t="e">
        <f>(#REF!+_add5)*Tchr*Inf^4</f>
        <v>#REF!</v>
      </c>
      <c r="O22" s="14">
        <f t="shared" ref="O22:O85" si="1">SUM(L22:N22)</f>
        <v>0</v>
      </c>
    </row>
    <row r="23" spans="1:15" hidden="1" x14ac:dyDescent="0.2">
      <c r="B23" s="5"/>
      <c r="C23" t="s">
        <v>156</v>
      </c>
      <c r="F23" s="14">
        <f>2*20*196*4</f>
        <v>31360</v>
      </c>
      <c r="G23" s="14">
        <f>+F23*Inf</f>
        <v>32300.799999999999</v>
      </c>
      <c r="H23" s="14">
        <f>+G23*Inf</f>
        <v>33269.824000000001</v>
      </c>
      <c r="I23" s="14">
        <f>+H23*Inf</f>
        <v>34267.918720000001</v>
      </c>
      <c r="J23" s="14">
        <f>+I23*Inf</f>
        <v>35295.956281600003</v>
      </c>
      <c r="O23" s="14">
        <f t="shared" si="1"/>
        <v>0</v>
      </c>
    </row>
    <row r="24" spans="1:15" ht="15" hidden="1" x14ac:dyDescent="0.35">
      <c r="C24" t="s">
        <v>96</v>
      </c>
      <c r="E24" s="3" t="str">
        <f>CONCATENATE(para1," @ ",Misc!B8)</f>
        <v>0 @ 17280</v>
      </c>
      <c r="F24" s="4">
        <f>para*para1</f>
        <v>0</v>
      </c>
      <c r="G24" s="4">
        <f>para*para2*Inf</f>
        <v>0</v>
      </c>
      <c r="H24" s="4">
        <f>para*para3*Inf^2</f>
        <v>0</v>
      </c>
      <c r="I24" s="4">
        <f>para*para4*Inf^3</f>
        <v>0</v>
      </c>
      <c r="J24" s="4">
        <f>para*para5*Inf^4</f>
        <v>0</v>
      </c>
      <c r="K24" s="4"/>
      <c r="L24" s="4"/>
      <c r="M24" s="4"/>
      <c r="N24" s="4"/>
      <c r="O24" s="14">
        <f t="shared" si="1"/>
        <v>0</v>
      </c>
    </row>
    <row r="25" spans="1:15" ht="15" hidden="1" x14ac:dyDescent="0.35">
      <c r="D25" s="5" t="s">
        <v>41</v>
      </c>
      <c r="E25" s="9"/>
      <c r="F25" s="6" t="e">
        <f t="shared" ref="F25:O25" si="2">SUM(F22:F24)</f>
        <v>#REF!</v>
      </c>
      <c r="G25" s="6" t="e">
        <f t="shared" si="2"/>
        <v>#REF!</v>
      </c>
      <c r="H25" s="6" t="e">
        <f t="shared" si="2"/>
        <v>#REF!</v>
      </c>
      <c r="I25" s="6" t="e">
        <f t="shared" si="2"/>
        <v>#REF!</v>
      </c>
      <c r="J25" s="6" t="e">
        <f t="shared" si="2"/>
        <v>#REF!</v>
      </c>
      <c r="K25" s="6">
        <f t="shared" si="2"/>
        <v>0</v>
      </c>
      <c r="L25" s="6">
        <f t="shared" si="2"/>
        <v>0</v>
      </c>
      <c r="M25" s="6">
        <f t="shared" si="2"/>
        <v>0</v>
      </c>
      <c r="N25" s="6">
        <f t="shared" si="2"/>
        <v>0</v>
      </c>
      <c r="O25" s="6">
        <f t="shared" si="2"/>
        <v>0</v>
      </c>
    </row>
    <row r="26" spans="1:15" hidden="1" x14ac:dyDescent="0.2">
      <c r="C26" t="s">
        <v>7</v>
      </c>
      <c r="E26" s="13">
        <v>1.4999999999999999E-2</v>
      </c>
      <c r="F26" s="14" t="e">
        <f>+F25*0.015</f>
        <v>#REF!</v>
      </c>
      <c r="G26" s="14" t="e">
        <f>+G25*0.015</f>
        <v>#REF!</v>
      </c>
      <c r="H26" s="14" t="e">
        <f>+H25*0.015</f>
        <v>#REF!</v>
      </c>
      <c r="I26" s="14" t="e">
        <f>+I25*0.015</f>
        <v>#REF!</v>
      </c>
      <c r="J26" s="14" t="e">
        <f>+J25*0.015</f>
        <v>#REF!</v>
      </c>
      <c r="O26" s="14">
        <f t="shared" si="1"/>
        <v>0</v>
      </c>
    </row>
    <row r="27" spans="1:15" hidden="1" x14ac:dyDescent="0.2">
      <c r="C27" t="s">
        <v>8</v>
      </c>
      <c r="E27" s="3" t="s">
        <v>52</v>
      </c>
      <c r="F27" s="14" t="e">
        <f>+F25*0.0765+0.027*(#REF!+_add1+para1+2)*7000</f>
        <v>#REF!</v>
      </c>
      <c r="G27" s="14" t="e">
        <f>+G25*0.0765+0.027*(#REF!+_add2+para2+3)*7000</f>
        <v>#REF!</v>
      </c>
      <c r="H27" s="14" t="e">
        <f>+H25*0.0765+0.027*(#REF!+_add3+para3+3)*7000</f>
        <v>#REF!</v>
      </c>
      <c r="I27" s="14" t="e">
        <f>+I25*0.0765+0.027*(#REF!+_add4+para4+3)*7000</f>
        <v>#REF!</v>
      </c>
      <c r="J27" s="14" t="e">
        <f>+J25*0.0765+0.027*(#REF!+_add5+para5+3)*7000</f>
        <v>#REF!</v>
      </c>
      <c r="O27" s="14">
        <f t="shared" si="1"/>
        <v>0</v>
      </c>
    </row>
    <row r="28" spans="1:15" hidden="1" x14ac:dyDescent="0.2">
      <c r="C28" t="s">
        <v>9</v>
      </c>
      <c r="E28" s="3" t="str">
        <f>CONCATENATE("$",ins," per month per employee")</f>
        <v>$266.666666666666 per month per employee</v>
      </c>
      <c r="F28" s="14" t="e">
        <f>(#REF!+_add1+para1+2)*ins*12</f>
        <v>#REF!</v>
      </c>
      <c r="G28" s="14" t="e">
        <f>(#REF!+_add2+para2)*ins*12*Inf</f>
        <v>#REF!</v>
      </c>
      <c r="H28" s="14" t="e">
        <f>(#REF!+_add3+para3)*ins*12*Inf^2</f>
        <v>#REF!</v>
      </c>
      <c r="I28" s="14" t="e">
        <f>(#REF!+_add4+para4)*ins*12*Inf^3</f>
        <v>#REF!</v>
      </c>
      <c r="J28" s="14" t="e">
        <f>(#REF!+_add5+para5)*ins*12*Inf^4</f>
        <v>#REF!</v>
      </c>
      <c r="O28" s="14">
        <f t="shared" si="1"/>
        <v>0</v>
      </c>
    </row>
    <row r="29" spans="1:15" ht="15" hidden="1" x14ac:dyDescent="0.35">
      <c r="C29" t="s">
        <v>10</v>
      </c>
      <c r="E29" s="11" t="s">
        <v>53</v>
      </c>
      <c r="F29" s="4" t="e">
        <f>+F25*0.01</f>
        <v>#REF!</v>
      </c>
      <c r="G29" s="4" t="e">
        <f>+G25*0.01</f>
        <v>#REF!</v>
      </c>
      <c r="H29" s="4" t="e">
        <f>+H25*0.01</f>
        <v>#REF!</v>
      </c>
      <c r="I29" s="4" t="e">
        <f>+I25*0.01</f>
        <v>#REF!</v>
      </c>
      <c r="J29" s="4" t="e">
        <f>+J25*0.01</f>
        <v>#REF!</v>
      </c>
      <c r="K29" s="4"/>
      <c r="L29" s="4"/>
      <c r="M29" s="4"/>
      <c r="N29" s="4"/>
      <c r="O29" s="14">
        <f t="shared" si="1"/>
        <v>0</v>
      </c>
    </row>
    <row r="30" spans="1:15" ht="15" hidden="1" x14ac:dyDescent="0.35">
      <c r="D30" s="5" t="s">
        <v>42</v>
      </c>
      <c r="E30" s="9"/>
      <c r="F30" s="6" t="e">
        <f t="shared" ref="F30:O30" si="3">SUM(F26:F29)</f>
        <v>#REF!</v>
      </c>
      <c r="G30" s="6" t="e">
        <f t="shared" si="3"/>
        <v>#REF!</v>
      </c>
      <c r="H30" s="6" t="e">
        <f t="shared" si="3"/>
        <v>#REF!</v>
      </c>
      <c r="I30" s="6" t="e">
        <f t="shared" si="3"/>
        <v>#REF!</v>
      </c>
      <c r="J30" s="6" t="e">
        <f t="shared" si="3"/>
        <v>#REF!</v>
      </c>
      <c r="K30" s="6">
        <f t="shared" si="3"/>
        <v>0</v>
      </c>
      <c r="L30" s="6">
        <f t="shared" si="3"/>
        <v>0</v>
      </c>
      <c r="M30" s="6">
        <f t="shared" si="3"/>
        <v>0</v>
      </c>
      <c r="N30" s="6">
        <f t="shared" si="3"/>
        <v>0</v>
      </c>
      <c r="O30" s="6">
        <f t="shared" si="3"/>
        <v>0</v>
      </c>
    </row>
    <row r="31" spans="1:15" hidden="1" x14ac:dyDescent="0.2">
      <c r="C31" t="s">
        <v>11</v>
      </c>
      <c r="E31" s="3" t="s">
        <v>140</v>
      </c>
      <c r="F31" s="14">
        <v>0</v>
      </c>
      <c r="G31" s="14" t="e">
        <f>+F31/F7*G7*Inf</f>
        <v>#REF!</v>
      </c>
      <c r="H31" s="14" t="e">
        <f>+G31/G7*H7*Inf</f>
        <v>#REF!</v>
      </c>
      <c r="I31" s="14" t="e">
        <f>+H31/H7*I7*Inf</f>
        <v>#REF!</v>
      </c>
      <c r="J31" s="14" t="e">
        <f>+I31/I7*J7*Inf</f>
        <v>#REF!</v>
      </c>
      <c r="O31" s="14">
        <f t="shared" si="1"/>
        <v>0</v>
      </c>
    </row>
    <row r="32" spans="1:15" hidden="1" x14ac:dyDescent="0.2">
      <c r="C32" t="s">
        <v>12</v>
      </c>
      <c r="E32" s="3" t="s">
        <v>54</v>
      </c>
      <c r="F32" s="14">
        <v>1000</v>
      </c>
      <c r="G32" s="14">
        <f>+F32</f>
        <v>1000</v>
      </c>
      <c r="H32" s="14">
        <f>+G32</f>
        <v>1000</v>
      </c>
      <c r="I32" s="14">
        <f>+H32</f>
        <v>1000</v>
      </c>
      <c r="J32" s="14">
        <f>+I32</f>
        <v>1000</v>
      </c>
      <c r="O32" s="14">
        <f t="shared" si="1"/>
        <v>0</v>
      </c>
    </row>
    <row r="33" spans="2:15" hidden="1" x14ac:dyDescent="0.2">
      <c r="C33" t="s">
        <v>13</v>
      </c>
      <c r="E33" s="3" t="s">
        <v>106</v>
      </c>
      <c r="F33" s="14" t="e">
        <f>+#REF!*75</f>
        <v>#REF!</v>
      </c>
      <c r="G33" s="14" t="e">
        <f>+F33/F7*G7*Inf</f>
        <v>#REF!</v>
      </c>
      <c r="H33" s="14" t="e">
        <f>+G33/G7*H7*Inf</f>
        <v>#REF!</v>
      </c>
      <c r="I33" s="14" t="e">
        <f>+H33/H7*I7*Inf</f>
        <v>#REF!</v>
      </c>
      <c r="J33" s="14" t="e">
        <f>+I33/I7*J7*Inf</f>
        <v>#REF!</v>
      </c>
      <c r="O33" s="14">
        <f t="shared" si="1"/>
        <v>0</v>
      </c>
    </row>
    <row r="34" spans="2:15" hidden="1" x14ac:dyDescent="0.2">
      <c r="C34" t="s">
        <v>115</v>
      </c>
      <c r="E34" s="3" t="s">
        <v>137</v>
      </c>
      <c r="F34" s="14" t="e">
        <f>250*SUM(#REF!)</f>
        <v>#REF!</v>
      </c>
      <c r="G34" s="14" t="e">
        <f>250*SUM(#REF!)*Inf</f>
        <v>#REF!</v>
      </c>
      <c r="H34" s="14" t="e">
        <f>250*SUM(#REF!)*Inf^2</f>
        <v>#REF!</v>
      </c>
      <c r="I34" s="14" t="e">
        <f>250*SUM(#REF!)*Inf^3</f>
        <v>#REF!</v>
      </c>
      <c r="J34" s="14" t="e">
        <f>250*SUM(#REF!)*Inf^4</f>
        <v>#REF!</v>
      </c>
      <c r="O34" s="14">
        <f t="shared" si="1"/>
        <v>0</v>
      </c>
    </row>
    <row r="35" spans="2:15" x14ac:dyDescent="0.2">
      <c r="C35" t="s">
        <v>14</v>
      </c>
      <c r="E35" s="3" t="s">
        <v>68</v>
      </c>
      <c r="F35" s="14" t="e">
        <f>12*PMT(Misc!B32/12,Misc!B33,-Misc!B31)</f>
        <v>#REF!</v>
      </c>
      <c r="G35" s="14" t="e">
        <f>375*(G7-F7)*Inf+F35</f>
        <v>#REF!</v>
      </c>
      <c r="H35" s="14" t="e">
        <f>375*(H7-G7)*Inf^2+F35</f>
        <v>#REF!</v>
      </c>
      <c r="I35" s="14" t="e">
        <f>25*I7*Inf^3</f>
        <v>#REF!</v>
      </c>
      <c r="J35" s="14" t="e">
        <f>25*J7*Inf^4</f>
        <v>#REF!</v>
      </c>
      <c r="K35" s="14" t="e">
        <f>+F35</f>
        <v>#REF!</v>
      </c>
      <c r="L35" s="14">
        <v>0</v>
      </c>
      <c r="M35" s="14" t="e">
        <f>+K35</f>
        <v>#REF!</v>
      </c>
      <c r="N35" s="14">
        <v>0</v>
      </c>
      <c r="O35" s="14" t="e">
        <f t="shared" si="1"/>
        <v>#REF!</v>
      </c>
    </row>
    <row r="36" spans="2:15" ht="15" x14ac:dyDescent="0.35">
      <c r="C36" t="s">
        <v>69</v>
      </c>
      <c r="E36" s="3" t="s">
        <v>105</v>
      </c>
      <c r="F36" s="14" t="e">
        <f>250*#REF!</f>
        <v>#REF!</v>
      </c>
      <c r="G36" s="14" t="e">
        <f>150*(#REF!-#REF!)*Inf</f>
        <v>#REF!</v>
      </c>
      <c r="H36" s="14" t="e">
        <f>150*(#REF!-#REF!)*Inf^2</f>
        <v>#REF!</v>
      </c>
      <c r="I36" s="14" t="e">
        <f>150*(#REF!-#REF!)*Inf^3</f>
        <v>#REF!</v>
      </c>
      <c r="J36" s="14" t="e">
        <f>150*(#REF!-#REF!)*Inf^4</f>
        <v>#REF!</v>
      </c>
      <c r="K36" s="14">
        <v>2000</v>
      </c>
      <c r="L36" s="10">
        <v>0</v>
      </c>
      <c r="M36" s="10">
        <v>0</v>
      </c>
      <c r="N36" s="10">
        <f>+K36</f>
        <v>2000</v>
      </c>
      <c r="O36" s="10">
        <f t="shared" si="1"/>
        <v>2000</v>
      </c>
    </row>
    <row r="37" spans="2:15" hidden="1" x14ac:dyDescent="0.2">
      <c r="C37" t="s">
        <v>15</v>
      </c>
      <c r="E37" s="3" t="s">
        <v>107</v>
      </c>
      <c r="F37" s="14" t="e">
        <f>12*PMT(Misc!B39/12,Misc!B40,-Misc!B38)</f>
        <v>#REF!</v>
      </c>
      <c r="G37" s="14" t="e">
        <f>3000*(#REF!-#REF!)*Inf+'Cash Flow 07'!F37</f>
        <v>#REF!</v>
      </c>
      <c r="H37" s="14" t="e">
        <f>3000*(#REF!-#REF!)*Inf^3+F37</f>
        <v>#REF!</v>
      </c>
      <c r="I37" s="14" t="e">
        <f>3000*(#REF!-#REF!)*Inf^3</f>
        <v>#REF!</v>
      </c>
      <c r="J37" s="14" t="e">
        <f>3000*(#REF!-#REF!)*Inf^4</f>
        <v>#REF!</v>
      </c>
      <c r="O37" s="14">
        <f t="shared" si="1"/>
        <v>0</v>
      </c>
    </row>
    <row r="38" spans="2:15" hidden="1" x14ac:dyDescent="0.2">
      <c r="C38" t="s">
        <v>16</v>
      </c>
      <c r="E38" s="3" t="s">
        <v>54</v>
      </c>
      <c r="F38" s="14">
        <v>2500</v>
      </c>
      <c r="G38" s="14">
        <f>+F38*Inf</f>
        <v>2575</v>
      </c>
      <c r="H38" s="14">
        <f>+G38*Inf^2</f>
        <v>2731.8175000000001</v>
      </c>
      <c r="I38" s="14">
        <f>+H38*Inf^3</f>
        <v>2985.1307413224999</v>
      </c>
      <c r="J38" s="14">
        <f>+I38*Inf^4</f>
        <v>3359.7909483603044</v>
      </c>
      <c r="O38" s="14">
        <f t="shared" si="1"/>
        <v>0</v>
      </c>
    </row>
    <row r="39" spans="2:15" ht="15" hidden="1" x14ac:dyDescent="0.35">
      <c r="C39" t="s">
        <v>17</v>
      </c>
      <c r="E39" s="3" t="s">
        <v>116</v>
      </c>
      <c r="F39" s="4" t="e">
        <f>8*100*(#REF!+1)</f>
        <v>#REF!</v>
      </c>
      <c r="G39" s="4" t="e">
        <f>30*10*#REF!*Inf</f>
        <v>#REF!</v>
      </c>
      <c r="H39" s="4" t="e">
        <f>30*10*#REF!*Inf^2</f>
        <v>#REF!</v>
      </c>
      <c r="I39" s="4" t="e">
        <f>30*10*#REF!*Inf^3</f>
        <v>#REF!</v>
      </c>
      <c r="J39" s="4" t="e">
        <f>30*10*#REF!*Inf^4</f>
        <v>#REF!</v>
      </c>
      <c r="K39" s="4"/>
      <c r="L39" s="4"/>
      <c r="M39" s="4"/>
      <c r="N39" s="4"/>
      <c r="O39" s="14">
        <f t="shared" si="1"/>
        <v>0</v>
      </c>
    </row>
    <row r="40" spans="2:15" ht="15" x14ac:dyDescent="0.35">
      <c r="D40" s="5" t="s">
        <v>43</v>
      </c>
      <c r="E40" s="9"/>
      <c r="F40" s="6" t="e">
        <f t="shared" ref="F40:O40" si="4">SUM(F31:F39)</f>
        <v>#REF!</v>
      </c>
      <c r="G40" s="6" t="e">
        <f t="shared" si="4"/>
        <v>#REF!</v>
      </c>
      <c r="H40" s="6" t="e">
        <f t="shared" si="4"/>
        <v>#REF!</v>
      </c>
      <c r="I40" s="6" t="e">
        <f t="shared" si="4"/>
        <v>#REF!</v>
      </c>
      <c r="J40" s="6" t="e">
        <f t="shared" si="4"/>
        <v>#REF!</v>
      </c>
      <c r="K40" s="6" t="e">
        <f t="shared" si="4"/>
        <v>#REF!</v>
      </c>
      <c r="L40" s="6">
        <f t="shared" si="4"/>
        <v>0</v>
      </c>
      <c r="M40" s="6" t="e">
        <f t="shared" si="4"/>
        <v>#REF!</v>
      </c>
      <c r="N40" s="6">
        <f t="shared" si="4"/>
        <v>2000</v>
      </c>
      <c r="O40" s="6" t="e">
        <f t="shared" si="4"/>
        <v>#REF!</v>
      </c>
    </row>
    <row r="41" spans="2:15" ht="15" x14ac:dyDescent="0.35">
      <c r="B41" s="5" t="s">
        <v>18</v>
      </c>
      <c r="C41" s="5"/>
      <c r="D41" s="5"/>
      <c r="E41" s="9"/>
      <c r="F41" s="6" t="e">
        <f t="shared" ref="F41:O41" si="5">SUM(F40,F30,F25)</f>
        <v>#REF!</v>
      </c>
      <c r="G41" s="6" t="e">
        <f t="shared" si="5"/>
        <v>#REF!</v>
      </c>
      <c r="H41" s="6" t="e">
        <f t="shared" si="5"/>
        <v>#REF!</v>
      </c>
      <c r="I41" s="6" t="e">
        <f t="shared" si="5"/>
        <v>#REF!</v>
      </c>
      <c r="J41" s="6" t="e">
        <f t="shared" si="5"/>
        <v>#REF!</v>
      </c>
      <c r="K41" s="6" t="e">
        <f t="shared" si="5"/>
        <v>#REF!</v>
      </c>
      <c r="L41" s="6">
        <f t="shared" si="5"/>
        <v>0</v>
      </c>
      <c r="M41" s="6" t="e">
        <f t="shared" si="5"/>
        <v>#REF!</v>
      </c>
      <c r="N41" s="6">
        <f t="shared" si="5"/>
        <v>2000</v>
      </c>
      <c r="O41" s="6" t="e">
        <f t="shared" si="5"/>
        <v>#REF!</v>
      </c>
    </row>
    <row r="43" spans="2:15" hidden="1" x14ac:dyDescent="0.2">
      <c r="B43" s="5" t="s">
        <v>66</v>
      </c>
      <c r="O43" s="14">
        <f t="shared" si="1"/>
        <v>0</v>
      </c>
    </row>
    <row r="44" spans="2:15" ht="15" hidden="1" x14ac:dyDescent="0.35">
      <c r="B44" s="5"/>
      <c r="C44" t="s">
        <v>109</v>
      </c>
      <c r="F44" s="4">
        <f>Tchr*0</f>
        <v>0</v>
      </c>
      <c r="G44" s="4">
        <f>+Tchr*Inf*0</f>
        <v>0</v>
      </c>
      <c r="H44" s="4">
        <f>Tchr*Inf^2*0</f>
        <v>0</v>
      </c>
      <c r="I44" s="4">
        <f>+Tchr*Inf^3</f>
        <v>44255.443500000001</v>
      </c>
      <c r="J44" s="4">
        <f>+Tchr*Inf^4</f>
        <v>45583.106804999996</v>
      </c>
      <c r="K44" s="4"/>
      <c r="L44" s="4"/>
      <c r="M44" s="4"/>
      <c r="N44" s="4"/>
      <c r="O44" s="14">
        <f t="shared" si="1"/>
        <v>0</v>
      </c>
    </row>
    <row r="45" spans="2:15" ht="15" hidden="1" x14ac:dyDescent="0.35">
      <c r="B45" s="5"/>
      <c r="C45" t="s">
        <v>114</v>
      </c>
      <c r="F45" s="4">
        <v>0</v>
      </c>
      <c r="G45" s="4">
        <f>+F45*Inf</f>
        <v>0</v>
      </c>
      <c r="H45" s="4">
        <f>+G45*Inf</f>
        <v>0</v>
      </c>
      <c r="I45" s="4">
        <f>+H45*Inf</f>
        <v>0</v>
      </c>
      <c r="J45" s="4">
        <f>+I45*Inf</f>
        <v>0</v>
      </c>
      <c r="K45" s="4"/>
      <c r="L45" s="4"/>
      <c r="M45" s="4"/>
      <c r="N45" s="4"/>
      <c r="O45" s="14">
        <f t="shared" si="1"/>
        <v>0</v>
      </c>
    </row>
    <row r="46" spans="2:15" ht="15" hidden="1" x14ac:dyDescent="0.35">
      <c r="B46" s="5"/>
      <c r="D46" s="5" t="s">
        <v>110</v>
      </c>
      <c r="F46" s="6">
        <f t="shared" ref="F46:O46" si="6">SUM(F44:F45)</f>
        <v>0</v>
      </c>
      <c r="G46" s="6">
        <f t="shared" si="6"/>
        <v>0</v>
      </c>
      <c r="H46" s="6">
        <f t="shared" si="6"/>
        <v>0</v>
      </c>
      <c r="I46" s="6">
        <f t="shared" si="6"/>
        <v>44255.443500000001</v>
      </c>
      <c r="J46" s="6">
        <f t="shared" si="6"/>
        <v>45583.106804999996</v>
      </c>
      <c r="K46" s="6">
        <f t="shared" si="6"/>
        <v>0</v>
      </c>
      <c r="L46" s="6">
        <f t="shared" si="6"/>
        <v>0</v>
      </c>
      <c r="M46" s="6">
        <f t="shared" si="6"/>
        <v>0</v>
      </c>
      <c r="N46" s="6">
        <f t="shared" si="6"/>
        <v>0</v>
      </c>
      <c r="O46" s="6">
        <f t="shared" si="6"/>
        <v>0</v>
      </c>
    </row>
    <row r="47" spans="2:15" hidden="1" x14ac:dyDescent="0.2">
      <c r="B47" s="5"/>
      <c r="C47" t="s">
        <v>7</v>
      </c>
      <c r="E47" s="13">
        <v>1.4999999999999999E-2</v>
      </c>
      <c r="F47" s="14">
        <f>+F46*0.015</f>
        <v>0</v>
      </c>
      <c r="G47" s="14">
        <f>+G46*0.015</f>
        <v>0</v>
      </c>
      <c r="H47" s="14">
        <f>+H46*0.015</f>
        <v>0</v>
      </c>
      <c r="I47" s="14">
        <f>+I46*0.015</f>
        <v>663.83165250000002</v>
      </c>
      <c r="J47" s="14">
        <f>+J46*0.015</f>
        <v>683.74660207499994</v>
      </c>
      <c r="O47" s="14">
        <f t="shared" si="1"/>
        <v>0</v>
      </c>
    </row>
    <row r="48" spans="2:15" hidden="1" x14ac:dyDescent="0.2">
      <c r="B48" s="5"/>
      <c r="C48" t="s">
        <v>8</v>
      </c>
      <c r="E48" s="3" t="s">
        <v>52</v>
      </c>
      <c r="F48" s="14">
        <f>+F46*0.0765+0.027*1*7000*0</f>
        <v>0</v>
      </c>
      <c r="G48" s="14">
        <f>+G46*0.0765+0.027*1*7000*0</f>
        <v>0</v>
      </c>
      <c r="H48" s="14">
        <f>+H46*0.0765+0.027*1*7000*0</f>
        <v>0</v>
      </c>
      <c r="I48" s="14">
        <f>+I46*0.0765+0.027*1*7000</f>
        <v>3574.5414277499999</v>
      </c>
      <c r="J48" s="14">
        <f>+J46*0.0765+0.027*1*7000</f>
        <v>3676.1076705824994</v>
      </c>
      <c r="O48" s="14">
        <f t="shared" si="1"/>
        <v>0</v>
      </c>
    </row>
    <row r="49" spans="2:15" hidden="1" x14ac:dyDescent="0.2">
      <c r="B49" s="5"/>
      <c r="C49" t="s">
        <v>9</v>
      </c>
      <c r="E49" s="3" t="str">
        <f>CONCATENATE(ins," per month per employee")</f>
        <v>266.666666666666 per month per employee</v>
      </c>
      <c r="F49" s="14">
        <f>1*ins*12*0</f>
        <v>0</v>
      </c>
      <c r="G49" s="14">
        <f>1*ins*12*Inf*0</f>
        <v>0</v>
      </c>
      <c r="H49" s="14">
        <f>1*ins*12*Inf^2*0</f>
        <v>0</v>
      </c>
      <c r="I49" s="14">
        <f>1*ins*12*Inf^3</f>
        <v>3496.7263999999964</v>
      </c>
      <c r="J49" s="14">
        <f>1*ins*12*Inf^4</f>
        <v>3601.628191999996</v>
      </c>
      <c r="O49" s="14">
        <f t="shared" si="1"/>
        <v>0</v>
      </c>
    </row>
    <row r="50" spans="2:15" ht="15" hidden="1" x14ac:dyDescent="0.35">
      <c r="B50" s="5"/>
      <c r="C50" t="s">
        <v>10</v>
      </c>
      <c r="E50" s="11" t="s">
        <v>53</v>
      </c>
      <c r="F50" s="4">
        <f>+F46*0.01</f>
        <v>0</v>
      </c>
      <c r="G50" s="4">
        <f>+G46*0.01</f>
        <v>0</v>
      </c>
      <c r="H50" s="4">
        <f>+H46*0.01</f>
        <v>0</v>
      </c>
      <c r="I50" s="4">
        <f>+I46*0.01</f>
        <v>442.55443500000001</v>
      </c>
      <c r="J50" s="4">
        <f>+J46*0.01</f>
        <v>455.83106804999994</v>
      </c>
      <c r="K50" s="4"/>
      <c r="L50" s="4"/>
      <c r="M50" s="4"/>
      <c r="N50" s="4"/>
      <c r="O50" s="14">
        <f t="shared" si="1"/>
        <v>0</v>
      </c>
    </row>
    <row r="51" spans="2:15" ht="15" hidden="1" x14ac:dyDescent="0.35">
      <c r="B51" s="5"/>
      <c r="D51" s="5" t="s">
        <v>111</v>
      </c>
      <c r="F51" s="6">
        <f t="shared" ref="F51:O51" si="7">SUM(F47:F50)</f>
        <v>0</v>
      </c>
      <c r="G51" s="6">
        <f t="shared" si="7"/>
        <v>0</v>
      </c>
      <c r="H51" s="6">
        <f t="shared" si="7"/>
        <v>0</v>
      </c>
      <c r="I51" s="6">
        <f t="shared" si="7"/>
        <v>8177.6539152499954</v>
      </c>
      <c r="J51" s="6">
        <f t="shared" si="7"/>
        <v>8417.3135327074961</v>
      </c>
      <c r="K51" s="6">
        <f t="shared" si="7"/>
        <v>0</v>
      </c>
      <c r="L51" s="6">
        <f t="shared" si="7"/>
        <v>0</v>
      </c>
      <c r="M51" s="6">
        <f t="shared" si="7"/>
        <v>0</v>
      </c>
      <c r="N51" s="6">
        <f t="shared" si="7"/>
        <v>0</v>
      </c>
      <c r="O51" s="6">
        <f t="shared" si="7"/>
        <v>0</v>
      </c>
    </row>
    <row r="52" spans="2:15" ht="15" hidden="1" x14ac:dyDescent="0.35">
      <c r="B52" s="5"/>
      <c r="C52" t="s">
        <v>13</v>
      </c>
      <c r="E52" s="3" t="s">
        <v>72</v>
      </c>
      <c r="F52" s="4" t="e">
        <f>300*#REF!*0</f>
        <v>#REF!</v>
      </c>
      <c r="G52" s="4" t="e">
        <f>300*#REF!*Inf*0</f>
        <v>#REF!</v>
      </c>
      <c r="H52" s="4" t="e">
        <f>300*#REF!*Inf^2*0</f>
        <v>#REF!</v>
      </c>
      <c r="I52" s="4" t="e">
        <f>300*#REF!*Inf^3</f>
        <v>#REF!</v>
      </c>
      <c r="J52" s="4" t="e">
        <f>300*#REF!*Inf^4</f>
        <v>#REF!</v>
      </c>
      <c r="K52" s="4"/>
      <c r="L52" s="4"/>
      <c r="M52" s="4"/>
      <c r="N52" s="4"/>
      <c r="O52" s="14">
        <f t="shared" si="1"/>
        <v>0</v>
      </c>
    </row>
    <row r="53" spans="2:15" ht="15" hidden="1" x14ac:dyDescent="0.35">
      <c r="B53" s="5"/>
      <c r="D53" s="5" t="s">
        <v>112</v>
      </c>
      <c r="F53" s="6" t="e">
        <f t="shared" ref="F53:O53" si="8">SUM(F52)</f>
        <v>#REF!</v>
      </c>
      <c r="G53" s="6" t="e">
        <f t="shared" si="8"/>
        <v>#REF!</v>
      </c>
      <c r="H53" s="6" t="e">
        <f t="shared" si="8"/>
        <v>#REF!</v>
      </c>
      <c r="I53" s="6" t="e">
        <f t="shared" si="8"/>
        <v>#REF!</v>
      </c>
      <c r="J53" s="6" t="e">
        <f t="shared" si="8"/>
        <v>#REF!</v>
      </c>
      <c r="K53" s="6">
        <f t="shared" si="8"/>
        <v>0</v>
      </c>
      <c r="L53" s="6">
        <f t="shared" si="8"/>
        <v>0</v>
      </c>
      <c r="M53" s="6">
        <f t="shared" si="8"/>
        <v>0</v>
      </c>
      <c r="N53" s="6">
        <f t="shared" si="8"/>
        <v>0</v>
      </c>
      <c r="O53" s="6">
        <f t="shared" si="8"/>
        <v>0</v>
      </c>
    </row>
    <row r="54" spans="2:15" ht="15" hidden="1" x14ac:dyDescent="0.35">
      <c r="B54" s="5" t="s">
        <v>84</v>
      </c>
      <c r="F54" s="6" t="e">
        <f t="shared" ref="F54:O54" si="9">+F46+F51+F53</f>
        <v>#REF!</v>
      </c>
      <c r="G54" s="6" t="e">
        <f t="shared" si="9"/>
        <v>#REF!</v>
      </c>
      <c r="H54" s="6" t="e">
        <f t="shared" si="9"/>
        <v>#REF!</v>
      </c>
      <c r="I54" s="6" t="e">
        <f t="shared" si="9"/>
        <v>#REF!</v>
      </c>
      <c r="J54" s="6" t="e">
        <f t="shared" si="9"/>
        <v>#REF!</v>
      </c>
      <c r="K54" s="6">
        <f t="shared" si="9"/>
        <v>0</v>
      </c>
      <c r="L54" s="6">
        <f t="shared" si="9"/>
        <v>0</v>
      </c>
      <c r="M54" s="6">
        <f t="shared" si="9"/>
        <v>0</v>
      </c>
      <c r="N54" s="6">
        <f t="shared" si="9"/>
        <v>0</v>
      </c>
      <c r="O54" s="6">
        <f t="shared" si="9"/>
        <v>0</v>
      </c>
    </row>
    <row r="55" spans="2:15" ht="15" hidden="1" x14ac:dyDescent="0.35">
      <c r="B55" s="5"/>
      <c r="F55" s="6"/>
      <c r="G55" s="6"/>
      <c r="H55" s="6"/>
      <c r="I55" s="6"/>
      <c r="J55" s="6"/>
      <c r="K55" s="6"/>
      <c r="L55" s="6"/>
      <c r="M55" s="6"/>
      <c r="N55" s="6"/>
    </row>
    <row r="56" spans="2:15" hidden="1" x14ac:dyDescent="0.2">
      <c r="B56" s="5" t="s">
        <v>117</v>
      </c>
      <c r="O56" s="14">
        <f t="shared" si="1"/>
        <v>0</v>
      </c>
    </row>
    <row r="57" spans="2:15" ht="15" hidden="1" x14ac:dyDescent="0.35">
      <c r="B57" s="5"/>
      <c r="C57" t="s">
        <v>118</v>
      </c>
      <c r="F57" s="4">
        <f>Tchr*0</f>
        <v>0</v>
      </c>
      <c r="G57" s="4">
        <f>+Tchr*Inf*0</f>
        <v>0</v>
      </c>
      <c r="H57" s="4">
        <f>Tchr*Inf^2*0</f>
        <v>0</v>
      </c>
      <c r="I57" s="4">
        <f>+Tchr*Inf^3</f>
        <v>44255.443500000001</v>
      </c>
      <c r="J57" s="4">
        <f>+Tchr*Inf^4</f>
        <v>45583.106804999996</v>
      </c>
      <c r="K57" s="4"/>
      <c r="L57" s="4"/>
      <c r="M57" s="4"/>
      <c r="N57" s="4"/>
      <c r="O57" s="14">
        <f t="shared" si="1"/>
        <v>0</v>
      </c>
    </row>
    <row r="58" spans="2:15" ht="15" hidden="1" x14ac:dyDescent="0.35">
      <c r="B58" s="5"/>
      <c r="C58" t="s">
        <v>114</v>
      </c>
      <c r="F58" s="4">
        <v>0</v>
      </c>
      <c r="G58" s="4">
        <f>+F58*Inf</f>
        <v>0</v>
      </c>
      <c r="H58" s="4">
        <f>+G58*Inf</f>
        <v>0</v>
      </c>
      <c r="I58" s="4">
        <f>+H58*Inf</f>
        <v>0</v>
      </c>
      <c r="J58" s="4">
        <f>+I58*Inf</f>
        <v>0</v>
      </c>
      <c r="K58" s="4"/>
      <c r="L58" s="4"/>
      <c r="M58" s="4"/>
      <c r="N58" s="4"/>
      <c r="O58" s="14">
        <f t="shared" si="1"/>
        <v>0</v>
      </c>
    </row>
    <row r="59" spans="2:15" ht="15" hidden="1" x14ac:dyDescent="0.35">
      <c r="B59" s="5"/>
      <c r="D59" s="5" t="s">
        <v>121</v>
      </c>
      <c r="F59" s="6">
        <f t="shared" ref="F59:O59" si="10">SUM(F57:F58)</f>
        <v>0</v>
      </c>
      <c r="G59" s="6">
        <f t="shared" si="10"/>
        <v>0</v>
      </c>
      <c r="H59" s="6">
        <f t="shared" si="10"/>
        <v>0</v>
      </c>
      <c r="I59" s="6">
        <f t="shared" si="10"/>
        <v>44255.443500000001</v>
      </c>
      <c r="J59" s="6">
        <f t="shared" si="10"/>
        <v>45583.106804999996</v>
      </c>
      <c r="K59" s="6">
        <f t="shared" si="10"/>
        <v>0</v>
      </c>
      <c r="L59" s="6">
        <f t="shared" si="10"/>
        <v>0</v>
      </c>
      <c r="M59" s="6">
        <f t="shared" si="10"/>
        <v>0</v>
      </c>
      <c r="N59" s="6">
        <f t="shared" si="10"/>
        <v>0</v>
      </c>
      <c r="O59" s="6">
        <f t="shared" si="10"/>
        <v>0</v>
      </c>
    </row>
    <row r="60" spans="2:15" hidden="1" x14ac:dyDescent="0.2">
      <c r="B60" s="5"/>
      <c r="C60" t="s">
        <v>7</v>
      </c>
      <c r="E60" s="13">
        <v>1.4999999999999999E-2</v>
      </c>
      <c r="F60" s="14">
        <f>+F59*0.015</f>
        <v>0</v>
      </c>
      <c r="G60" s="14">
        <f>+G59*0.015</f>
        <v>0</v>
      </c>
      <c r="H60" s="14">
        <f>+H59*0.015</f>
        <v>0</v>
      </c>
      <c r="I60" s="14">
        <f>+I59*0.015</f>
        <v>663.83165250000002</v>
      </c>
      <c r="J60" s="14">
        <f>+J59*0.015</f>
        <v>683.74660207499994</v>
      </c>
      <c r="O60" s="14">
        <f t="shared" si="1"/>
        <v>0</v>
      </c>
    </row>
    <row r="61" spans="2:15" hidden="1" x14ac:dyDescent="0.2">
      <c r="B61" s="5"/>
      <c r="C61" t="s">
        <v>8</v>
      </c>
      <c r="E61" s="3" t="s">
        <v>52</v>
      </c>
      <c r="F61" s="14">
        <f>+F59*0.0765+0.027*1*7000*0</f>
        <v>0</v>
      </c>
      <c r="G61" s="14">
        <f>+G59*0.0765+0.027*1*7000*0</f>
        <v>0</v>
      </c>
      <c r="H61" s="14">
        <f>+H59*0.0765+0.027*1*7000*0</f>
        <v>0</v>
      </c>
      <c r="I61" s="14">
        <f>+I59*0.0765+0.027*1*7000</f>
        <v>3574.5414277499999</v>
      </c>
      <c r="J61" s="14">
        <f>+J59*0.0765+0.027*1*7000</f>
        <v>3676.1076705824994</v>
      </c>
      <c r="O61" s="14">
        <f t="shared" si="1"/>
        <v>0</v>
      </c>
    </row>
    <row r="62" spans="2:15" hidden="1" x14ac:dyDescent="0.2">
      <c r="B62" s="5"/>
      <c r="C62" t="s">
        <v>9</v>
      </c>
      <c r="E62" s="3" t="str">
        <f>CONCATENATE(ins," per month per employee")</f>
        <v>266.666666666666 per month per employee</v>
      </c>
      <c r="F62" s="14">
        <f>1*ins*12*0</f>
        <v>0</v>
      </c>
      <c r="G62" s="14">
        <f>1*ins*12*Inf*0</f>
        <v>0</v>
      </c>
      <c r="H62" s="14">
        <f>1*ins*12*Inf^2*0</f>
        <v>0</v>
      </c>
      <c r="I62" s="14">
        <f>1*ins*12*Inf^3</f>
        <v>3496.7263999999964</v>
      </c>
      <c r="J62" s="14">
        <f>1*ins*12*Inf^4</f>
        <v>3601.628191999996</v>
      </c>
      <c r="O62" s="14">
        <f t="shared" si="1"/>
        <v>0</v>
      </c>
    </row>
    <row r="63" spans="2:15" ht="15" hidden="1" x14ac:dyDescent="0.35">
      <c r="B63" s="5"/>
      <c r="C63" t="s">
        <v>10</v>
      </c>
      <c r="E63" s="11" t="s">
        <v>53</v>
      </c>
      <c r="F63" s="4">
        <f>+F59*0.01</f>
        <v>0</v>
      </c>
      <c r="G63" s="4">
        <f>+G59*0.01</f>
        <v>0</v>
      </c>
      <c r="H63" s="4">
        <f>+H59*0.01</f>
        <v>0</v>
      </c>
      <c r="I63" s="4">
        <f>+I59*0.01</f>
        <v>442.55443500000001</v>
      </c>
      <c r="J63" s="4">
        <f>+J59*0.01</f>
        <v>455.83106804999994</v>
      </c>
      <c r="K63" s="4"/>
      <c r="L63" s="4"/>
      <c r="M63" s="4"/>
      <c r="N63" s="4"/>
      <c r="O63" s="14">
        <f t="shared" si="1"/>
        <v>0</v>
      </c>
    </row>
    <row r="64" spans="2:15" ht="15" hidden="1" x14ac:dyDescent="0.35">
      <c r="B64" s="5"/>
      <c r="D64" s="5" t="s">
        <v>122</v>
      </c>
      <c r="F64" s="6">
        <f t="shared" ref="F64:O64" si="11">SUM(F60:F63)</f>
        <v>0</v>
      </c>
      <c r="G64" s="6">
        <f t="shared" si="11"/>
        <v>0</v>
      </c>
      <c r="H64" s="6">
        <f t="shared" si="11"/>
        <v>0</v>
      </c>
      <c r="I64" s="6">
        <f t="shared" si="11"/>
        <v>8177.6539152499954</v>
      </c>
      <c r="J64" s="6">
        <f t="shared" si="11"/>
        <v>8417.3135327074961</v>
      </c>
      <c r="K64" s="6">
        <f t="shared" si="11"/>
        <v>0</v>
      </c>
      <c r="L64" s="6">
        <f t="shared" si="11"/>
        <v>0</v>
      </c>
      <c r="M64" s="6">
        <f t="shared" si="11"/>
        <v>0</v>
      </c>
      <c r="N64" s="6">
        <f t="shared" si="11"/>
        <v>0</v>
      </c>
      <c r="O64" s="6">
        <f t="shared" si="11"/>
        <v>0</v>
      </c>
    </row>
    <row r="65" spans="2:15" hidden="1" x14ac:dyDescent="0.2">
      <c r="B65" s="5"/>
      <c r="C65" t="s">
        <v>13</v>
      </c>
      <c r="D65" s="5"/>
      <c r="F65" s="14" t="e">
        <f>10*F7*0</f>
        <v>#REF!</v>
      </c>
      <c r="G65" s="14" t="e">
        <f>10*G7*Inf*0</f>
        <v>#REF!</v>
      </c>
      <c r="H65" s="14" t="e">
        <f>10*H7*Inf^2*0</f>
        <v>#REF!</v>
      </c>
      <c r="I65" s="14" t="e">
        <f>10*I7*Inf^3</f>
        <v>#REF!</v>
      </c>
      <c r="J65" s="14" t="e">
        <f>10*J7*Inf^4</f>
        <v>#REF!</v>
      </c>
      <c r="O65" s="14">
        <f t="shared" si="1"/>
        <v>0</v>
      </c>
    </row>
    <row r="66" spans="2:15" hidden="1" x14ac:dyDescent="0.2">
      <c r="B66" s="5"/>
      <c r="C66" t="s">
        <v>120</v>
      </c>
      <c r="D66" s="5"/>
      <c r="F66" s="14" t="e">
        <f>3*F7*0</f>
        <v>#REF!</v>
      </c>
      <c r="G66" s="14" t="e">
        <f>3*G7*Inf*0</f>
        <v>#REF!</v>
      </c>
      <c r="H66" s="14" t="e">
        <f>3*H7*Inf^2*0</f>
        <v>#REF!</v>
      </c>
      <c r="I66" s="14" t="e">
        <f>3*I7*Inf^3</f>
        <v>#REF!</v>
      </c>
      <c r="J66" s="14" t="e">
        <f>3*J7*Inf^4</f>
        <v>#REF!</v>
      </c>
      <c r="O66" s="14">
        <f t="shared" si="1"/>
        <v>0</v>
      </c>
    </row>
    <row r="67" spans="2:15" ht="15" hidden="1" x14ac:dyDescent="0.35">
      <c r="B67" s="5"/>
      <c r="C67" t="s">
        <v>119</v>
      </c>
      <c r="F67" s="4" t="e">
        <f>10*F7*0</f>
        <v>#REF!</v>
      </c>
      <c r="G67" s="4" t="e">
        <f>10*G7*Inf*0</f>
        <v>#REF!</v>
      </c>
      <c r="H67" s="4" t="e">
        <f>10*H7*Inf^2*0</f>
        <v>#REF!</v>
      </c>
      <c r="I67" s="4" t="e">
        <f>10*I7*Inf^3</f>
        <v>#REF!</v>
      </c>
      <c r="J67" s="4" t="e">
        <f>10*J7*Inf^4</f>
        <v>#REF!</v>
      </c>
      <c r="K67" s="4"/>
      <c r="L67" s="4"/>
      <c r="M67" s="4"/>
      <c r="N67" s="4"/>
      <c r="O67" s="14">
        <f t="shared" si="1"/>
        <v>0</v>
      </c>
    </row>
    <row r="68" spans="2:15" ht="15" hidden="1" x14ac:dyDescent="0.35">
      <c r="B68" s="5"/>
      <c r="D68" s="5" t="s">
        <v>123</v>
      </c>
      <c r="F68" s="6" t="e">
        <f t="shared" ref="F68:O68" si="12">SUM(F65:F67)</f>
        <v>#REF!</v>
      </c>
      <c r="G68" s="6" t="e">
        <f t="shared" si="12"/>
        <v>#REF!</v>
      </c>
      <c r="H68" s="6" t="e">
        <f t="shared" si="12"/>
        <v>#REF!</v>
      </c>
      <c r="I68" s="6" t="e">
        <f t="shared" si="12"/>
        <v>#REF!</v>
      </c>
      <c r="J68" s="6" t="e">
        <f t="shared" si="12"/>
        <v>#REF!</v>
      </c>
      <c r="K68" s="6">
        <f t="shared" si="12"/>
        <v>0</v>
      </c>
      <c r="L68" s="6">
        <f t="shared" si="12"/>
        <v>0</v>
      </c>
      <c r="M68" s="6">
        <f t="shared" si="12"/>
        <v>0</v>
      </c>
      <c r="N68" s="6">
        <f t="shared" si="12"/>
        <v>0</v>
      </c>
      <c r="O68" s="6">
        <f t="shared" si="12"/>
        <v>0</v>
      </c>
    </row>
    <row r="69" spans="2:15" ht="15" hidden="1" x14ac:dyDescent="0.35">
      <c r="B69" s="5" t="s">
        <v>124</v>
      </c>
      <c r="F69" s="6" t="e">
        <f t="shared" ref="F69:O69" si="13">+F59+F64+F68</f>
        <v>#REF!</v>
      </c>
      <c r="G69" s="6" t="e">
        <f t="shared" si="13"/>
        <v>#REF!</v>
      </c>
      <c r="H69" s="6" t="e">
        <f t="shared" si="13"/>
        <v>#REF!</v>
      </c>
      <c r="I69" s="6" t="e">
        <f t="shared" si="13"/>
        <v>#REF!</v>
      </c>
      <c r="J69" s="6" t="e">
        <f t="shared" si="13"/>
        <v>#REF!</v>
      </c>
      <c r="K69" s="6">
        <f t="shared" si="13"/>
        <v>0</v>
      </c>
      <c r="L69" s="6">
        <f t="shared" si="13"/>
        <v>0</v>
      </c>
      <c r="M69" s="6">
        <f t="shared" si="13"/>
        <v>0</v>
      </c>
      <c r="N69" s="6">
        <f t="shared" si="13"/>
        <v>0</v>
      </c>
      <c r="O69" s="6">
        <f t="shared" si="13"/>
        <v>0</v>
      </c>
    </row>
    <row r="70" spans="2:15" hidden="1" x14ac:dyDescent="0.2"/>
    <row r="71" spans="2:15" hidden="1" x14ac:dyDescent="0.2">
      <c r="B71" s="5" t="s">
        <v>91</v>
      </c>
      <c r="I71"/>
      <c r="J71"/>
      <c r="O71" s="14">
        <f t="shared" si="1"/>
        <v>0</v>
      </c>
    </row>
    <row r="72" spans="2:15" ht="15" hidden="1" x14ac:dyDescent="0.35">
      <c r="C72" s="5" t="s">
        <v>11</v>
      </c>
      <c r="D72" s="5"/>
      <c r="E72" s="3" t="s">
        <v>54</v>
      </c>
      <c r="F72" s="6">
        <v>0</v>
      </c>
      <c r="G72" s="6">
        <f>+F72*Inf*0</f>
        <v>0</v>
      </c>
      <c r="H72" s="6">
        <f t="shared" ref="H72:O72" si="14">+G72*Inf</f>
        <v>0</v>
      </c>
      <c r="I72" s="6">
        <f t="shared" si="14"/>
        <v>0</v>
      </c>
      <c r="J72" s="6">
        <f t="shared" si="14"/>
        <v>0</v>
      </c>
      <c r="K72" s="6">
        <f t="shared" si="14"/>
        <v>0</v>
      </c>
      <c r="L72" s="6">
        <f t="shared" si="14"/>
        <v>0</v>
      </c>
      <c r="M72" s="6">
        <f t="shared" si="14"/>
        <v>0</v>
      </c>
      <c r="N72" s="6">
        <f t="shared" si="14"/>
        <v>0</v>
      </c>
      <c r="O72" s="6">
        <f t="shared" si="14"/>
        <v>0</v>
      </c>
    </row>
    <row r="73" spans="2:15" hidden="1" x14ac:dyDescent="0.2">
      <c r="E73"/>
      <c r="F73"/>
      <c r="G73"/>
      <c r="H73"/>
      <c r="I73"/>
      <c r="J73"/>
      <c r="K73"/>
      <c r="L73"/>
      <c r="M73"/>
      <c r="N73"/>
    </row>
    <row r="74" spans="2:15" hidden="1" x14ac:dyDescent="0.2">
      <c r="B74" s="5" t="s">
        <v>19</v>
      </c>
      <c r="O74" s="14">
        <f t="shared" si="1"/>
        <v>0</v>
      </c>
    </row>
    <row r="75" spans="2:15" ht="15" hidden="1" x14ac:dyDescent="0.35">
      <c r="C75" s="5" t="s">
        <v>11</v>
      </c>
      <c r="D75" s="5"/>
      <c r="E75" s="3" t="s">
        <v>54</v>
      </c>
      <c r="F75" s="6">
        <v>0</v>
      </c>
      <c r="G75" s="6">
        <f t="shared" ref="G75:O75" si="15">+F75*Inf</f>
        <v>0</v>
      </c>
      <c r="H75" s="6">
        <f t="shared" si="15"/>
        <v>0</v>
      </c>
      <c r="I75" s="6">
        <f t="shared" si="15"/>
        <v>0</v>
      </c>
      <c r="J75" s="6">
        <f t="shared" si="15"/>
        <v>0</v>
      </c>
      <c r="K75" s="6">
        <f t="shared" si="15"/>
        <v>0</v>
      </c>
      <c r="L75" s="6">
        <f t="shared" si="15"/>
        <v>0</v>
      </c>
      <c r="M75" s="6">
        <f t="shared" si="15"/>
        <v>0</v>
      </c>
      <c r="N75" s="6">
        <f t="shared" si="15"/>
        <v>0</v>
      </c>
      <c r="O75" s="6">
        <f t="shared" si="15"/>
        <v>0</v>
      </c>
    </row>
    <row r="76" spans="2:15" hidden="1" x14ac:dyDescent="0.2"/>
    <row r="77" spans="2:15" x14ac:dyDescent="0.2">
      <c r="B77" s="5" t="s">
        <v>24</v>
      </c>
      <c r="O77" s="14">
        <f t="shared" si="1"/>
        <v>0</v>
      </c>
    </row>
    <row r="78" spans="2:15" hidden="1" x14ac:dyDescent="0.2">
      <c r="C78" t="s">
        <v>20</v>
      </c>
      <c r="E78" s="3" t="s">
        <v>54</v>
      </c>
      <c r="F78" s="14">
        <v>2000</v>
      </c>
      <c r="G78" s="14">
        <v>2000</v>
      </c>
      <c r="H78" s="14">
        <v>2000</v>
      </c>
      <c r="I78" s="14">
        <v>2000</v>
      </c>
      <c r="J78" s="14">
        <v>2000</v>
      </c>
      <c r="O78" s="14">
        <f t="shared" si="1"/>
        <v>0</v>
      </c>
    </row>
    <row r="79" spans="2:15" hidden="1" x14ac:dyDescent="0.2">
      <c r="C79" t="s">
        <v>157</v>
      </c>
      <c r="E79" s="3" t="s">
        <v>54</v>
      </c>
      <c r="F79" s="14">
        <f>0.1*F13</f>
        <v>103026.21000000002</v>
      </c>
      <c r="G79" s="14" t="e">
        <f>0.1*G13</f>
        <v>#REF!</v>
      </c>
      <c r="H79" s="14" t="e">
        <f>0.1*H13</f>
        <v>#REF!</v>
      </c>
      <c r="I79" s="14" t="e">
        <f>0.1*I13</f>
        <v>#REF!</v>
      </c>
      <c r="J79" s="14" t="e">
        <f>0.1*J13</f>
        <v>#REF!</v>
      </c>
      <c r="O79" s="14">
        <f t="shared" si="1"/>
        <v>0</v>
      </c>
    </row>
    <row r="80" spans="2:15" ht="15" x14ac:dyDescent="0.35">
      <c r="C80" t="s">
        <v>75</v>
      </c>
      <c r="F80" s="14">
        <v>40000</v>
      </c>
      <c r="K80" s="14">
        <v>20000</v>
      </c>
      <c r="L80" s="10">
        <v>10000</v>
      </c>
      <c r="M80" s="10">
        <v>0</v>
      </c>
      <c r="N80" s="10">
        <v>10000</v>
      </c>
      <c r="O80" s="10">
        <f t="shared" si="1"/>
        <v>20000</v>
      </c>
    </row>
    <row r="81" spans="2:15" hidden="1" x14ac:dyDescent="0.2">
      <c r="C81" t="s">
        <v>76</v>
      </c>
      <c r="E81" s="3" t="s">
        <v>54</v>
      </c>
      <c r="F81" s="14">
        <v>9000</v>
      </c>
      <c r="G81" s="14">
        <f>+F81*Inf</f>
        <v>9270</v>
      </c>
      <c r="H81" s="14">
        <f>+G81*Inf</f>
        <v>9548.1</v>
      </c>
      <c r="I81" s="14">
        <f>+H81*Inf</f>
        <v>9834.5430000000015</v>
      </c>
      <c r="J81" s="14">
        <f>+I81*Inf</f>
        <v>10129.579290000001</v>
      </c>
      <c r="O81" s="14">
        <f t="shared" si="1"/>
        <v>0</v>
      </c>
    </row>
    <row r="82" spans="2:15" hidden="1" x14ac:dyDescent="0.2">
      <c r="C82" t="s">
        <v>93</v>
      </c>
      <c r="E82" s="3" t="s">
        <v>54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O82" s="14">
        <f t="shared" si="1"/>
        <v>0</v>
      </c>
    </row>
    <row r="83" spans="2:15" hidden="1" x14ac:dyDescent="0.2">
      <c r="C83" t="s">
        <v>12</v>
      </c>
      <c r="E83" s="3" t="s">
        <v>54</v>
      </c>
      <c r="F83" s="14">
        <v>1000</v>
      </c>
      <c r="G83" s="14">
        <f t="shared" ref="G83:J84" si="16">+F83*Inf</f>
        <v>1030</v>
      </c>
      <c r="H83" s="14">
        <f t="shared" si="16"/>
        <v>1060.9000000000001</v>
      </c>
      <c r="I83" s="14">
        <f t="shared" si="16"/>
        <v>1092.7270000000001</v>
      </c>
      <c r="J83" s="14">
        <f t="shared" si="16"/>
        <v>1125.50881</v>
      </c>
      <c r="O83" s="14">
        <f t="shared" si="1"/>
        <v>0</v>
      </c>
    </row>
    <row r="84" spans="2:15" hidden="1" x14ac:dyDescent="0.2">
      <c r="C84" t="s">
        <v>21</v>
      </c>
      <c r="E84" s="3" t="s">
        <v>54</v>
      </c>
      <c r="F84" s="14">
        <v>12000</v>
      </c>
      <c r="G84" s="14">
        <f t="shared" si="16"/>
        <v>12360</v>
      </c>
      <c r="H84" s="14">
        <f t="shared" si="16"/>
        <v>12730.800000000001</v>
      </c>
      <c r="I84" s="14">
        <f t="shared" si="16"/>
        <v>13112.724000000002</v>
      </c>
      <c r="J84" s="14">
        <f t="shared" si="16"/>
        <v>13506.105720000003</v>
      </c>
      <c r="O84" s="14">
        <f t="shared" si="1"/>
        <v>0</v>
      </c>
    </row>
    <row r="85" spans="2:15" hidden="1" x14ac:dyDescent="0.2">
      <c r="C85" t="s">
        <v>22</v>
      </c>
      <c r="F85" s="14">
        <f>0.05*F13</f>
        <v>51513.10500000001</v>
      </c>
      <c r="G85" s="14" t="e">
        <f>0.05*G13</f>
        <v>#REF!</v>
      </c>
      <c r="H85" s="14" t="e">
        <f>0.05*H13</f>
        <v>#REF!</v>
      </c>
      <c r="I85" s="14" t="e">
        <f>0.05*I13</f>
        <v>#REF!</v>
      </c>
      <c r="J85" s="14" t="e">
        <f>0.05*J13</f>
        <v>#REF!</v>
      </c>
      <c r="O85" s="14">
        <f t="shared" si="1"/>
        <v>0</v>
      </c>
    </row>
    <row r="86" spans="2:15" ht="15" hidden="1" x14ac:dyDescent="0.35">
      <c r="C86" t="s">
        <v>92</v>
      </c>
      <c r="E86" s="16">
        <v>0.03</v>
      </c>
      <c r="F86" s="4">
        <f>0.03*F14</f>
        <v>4110</v>
      </c>
      <c r="G86" s="4">
        <f>0.03*G14</f>
        <v>3510</v>
      </c>
      <c r="H86" s="4">
        <f>0.033348*H14</f>
        <v>0</v>
      </c>
      <c r="I86" s="4">
        <f>0.033348*I14</f>
        <v>0</v>
      </c>
      <c r="J86" s="4">
        <f>0.033348*J14</f>
        <v>0</v>
      </c>
      <c r="K86" s="4"/>
      <c r="L86" s="4"/>
      <c r="M86" s="4"/>
      <c r="N86" s="4"/>
      <c r="O86" s="14">
        <f t="shared" ref="O86:O149" si="17">SUM(L86:N86)</f>
        <v>0</v>
      </c>
    </row>
    <row r="87" spans="2:15" ht="15" x14ac:dyDescent="0.35">
      <c r="B87" s="5" t="s">
        <v>23</v>
      </c>
      <c r="C87" s="5"/>
      <c r="D87" s="5"/>
      <c r="E87" s="9"/>
      <c r="F87" s="6">
        <f t="shared" ref="F87:O87" si="18">SUM(F78:F86)</f>
        <v>222649.31500000003</v>
      </c>
      <c r="G87" s="6" t="e">
        <f t="shared" si="18"/>
        <v>#REF!</v>
      </c>
      <c r="H87" s="6" t="e">
        <f t="shared" si="18"/>
        <v>#REF!</v>
      </c>
      <c r="I87" s="6" t="e">
        <f t="shared" si="18"/>
        <v>#REF!</v>
      </c>
      <c r="J87" s="6" t="e">
        <f t="shared" si="18"/>
        <v>#REF!</v>
      </c>
      <c r="K87" s="6">
        <f t="shared" si="18"/>
        <v>20000</v>
      </c>
      <c r="L87" s="6">
        <f t="shared" si="18"/>
        <v>10000</v>
      </c>
      <c r="M87" s="6">
        <f t="shared" si="18"/>
        <v>0</v>
      </c>
      <c r="N87" s="6">
        <f t="shared" si="18"/>
        <v>10000</v>
      </c>
      <c r="O87" s="6">
        <f t="shared" si="18"/>
        <v>20000</v>
      </c>
    </row>
    <row r="88" spans="2:15" x14ac:dyDescent="0.2">
      <c r="F88" s="3"/>
      <c r="G88" s="3"/>
      <c r="K88" s="3"/>
      <c r="L88" s="3"/>
      <c r="M88" s="3"/>
      <c r="N88" s="3"/>
    </row>
    <row r="89" spans="2:15" x14ac:dyDescent="0.2">
      <c r="B89" s="5" t="s">
        <v>26</v>
      </c>
      <c r="F89" s="3"/>
      <c r="G89" s="3"/>
      <c r="K89" s="3"/>
      <c r="L89" s="3"/>
      <c r="M89" s="3"/>
      <c r="N89" s="3"/>
      <c r="O89" s="14">
        <f t="shared" si="17"/>
        <v>0</v>
      </c>
    </row>
    <row r="90" spans="2:15" x14ac:dyDescent="0.2">
      <c r="C90" t="s">
        <v>131</v>
      </c>
      <c r="E90" s="3" t="s">
        <v>135</v>
      </c>
      <c r="F90" s="14">
        <f>75000/12*14</f>
        <v>87500</v>
      </c>
      <c r="G90" s="14">
        <f>+F90/14*12*Inf</f>
        <v>77250</v>
      </c>
      <c r="H90" s="14">
        <f t="shared" ref="H90:J92" si="19">+G90*Inf</f>
        <v>79567.5</v>
      </c>
      <c r="I90" s="14">
        <f t="shared" si="19"/>
        <v>81954.525000000009</v>
      </c>
      <c r="J90" s="14">
        <f t="shared" si="19"/>
        <v>84413.16075000001</v>
      </c>
      <c r="K90" s="14">
        <f>75000/12*2</f>
        <v>12500</v>
      </c>
      <c r="L90" s="14">
        <v>0</v>
      </c>
      <c r="M90" s="14">
        <f>+K90/2</f>
        <v>6250</v>
      </c>
      <c r="N90" s="14">
        <f>+M90</f>
        <v>6250</v>
      </c>
      <c r="O90" s="14">
        <f t="shared" si="17"/>
        <v>12500</v>
      </c>
    </row>
    <row r="91" spans="2:15" hidden="1" x14ac:dyDescent="0.2">
      <c r="C91" t="s">
        <v>132</v>
      </c>
      <c r="E91" s="3" t="s">
        <v>145</v>
      </c>
      <c r="F91" s="14">
        <v>0</v>
      </c>
      <c r="G91" s="14">
        <f>+F91*Inf</f>
        <v>0</v>
      </c>
      <c r="H91" s="14">
        <f t="shared" si="19"/>
        <v>0</v>
      </c>
      <c r="I91" s="14">
        <f t="shared" si="19"/>
        <v>0</v>
      </c>
      <c r="J91" s="14">
        <f t="shared" si="19"/>
        <v>0</v>
      </c>
      <c r="O91" s="14">
        <f t="shared" si="17"/>
        <v>0</v>
      </c>
    </row>
    <row r="92" spans="2:15" hidden="1" x14ac:dyDescent="0.2">
      <c r="C92" t="s">
        <v>133</v>
      </c>
      <c r="E92" s="3" t="s">
        <v>136</v>
      </c>
      <c r="F92" s="14">
        <f>Tchr*0</f>
        <v>0</v>
      </c>
      <c r="G92" s="14">
        <f>+F92*Inf</f>
        <v>0</v>
      </c>
      <c r="H92" s="14">
        <f t="shared" si="19"/>
        <v>0</v>
      </c>
      <c r="I92" s="14">
        <f t="shared" si="19"/>
        <v>0</v>
      </c>
      <c r="J92" s="14">
        <f t="shared" si="19"/>
        <v>0</v>
      </c>
      <c r="O92" s="14">
        <f t="shared" si="17"/>
        <v>0</v>
      </c>
    </row>
    <row r="93" spans="2:15" ht="15" x14ac:dyDescent="0.35">
      <c r="C93" t="s">
        <v>134</v>
      </c>
      <c r="E93" s="3" t="s">
        <v>135</v>
      </c>
      <c r="F93" s="4">
        <f>15*40*52/12*13</f>
        <v>33800</v>
      </c>
      <c r="G93" s="4">
        <f>(15*40*52)*Inf</f>
        <v>32136</v>
      </c>
      <c r="H93" s="4">
        <f>+G93*Inf</f>
        <v>33100.080000000002</v>
      </c>
      <c r="I93" s="4">
        <f>+H93*Inf+12*40*52*Inf^2</f>
        <v>60573.146399999998</v>
      </c>
      <c r="J93" s="4">
        <f>+I93*Inf</f>
        <v>62390.340792000003</v>
      </c>
      <c r="K93" s="4">
        <f>15*40*52/12</f>
        <v>2600</v>
      </c>
      <c r="L93" s="4">
        <v>0</v>
      </c>
      <c r="M93" s="4">
        <v>0</v>
      </c>
      <c r="N93" s="4">
        <f>+K93</f>
        <v>2600</v>
      </c>
      <c r="O93" s="4">
        <f t="shared" si="17"/>
        <v>2600</v>
      </c>
    </row>
    <row r="94" spans="2:15" ht="15" x14ac:dyDescent="0.35">
      <c r="D94" s="5" t="s">
        <v>27</v>
      </c>
      <c r="E94" s="9"/>
      <c r="F94" s="6">
        <f t="shared" ref="F94:O94" si="20">SUM(F90:F93)</f>
        <v>121300</v>
      </c>
      <c r="G94" s="6">
        <f t="shared" si="20"/>
        <v>109386</v>
      </c>
      <c r="H94" s="6">
        <f t="shared" si="20"/>
        <v>112667.58</v>
      </c>
      <c r="I94" s="6">
        <f t="shared" si="20"/>
        <v>142527.67139999999</v>
      </c>
      <c r="J94" s="6">
        <f t="shared" si="20"/>
        <v>146803.50154200001</v>
      </c>
      <c r="K94" s="6">
        <f t="shared" si="20"/>
        <v>15100</v>
      </c>
      <c r="L94" s="6">
        <f t="shared" si="20"/>
        <v>0</v>
      </c>
      <c r="M94" s="6">
        <f t="shared" si="20"/>
        <v>6250</v>
      </c>
      <c r="N94" s="6">
        <f t="shared" si="20"/>
        <v>8850</v>
      </c>
      <c r="O94" s="6">
        <f t="shared" si="20"/>
        <v>15100</v>
      </c>
    </row>
    <row r="95" spans="2:15" x14ac:dyDescent="0.2">
      <c r="C95" t="s">
        <v>7</v>
      </c>
      <c r="E95" s="13">
        <v>1.4999999999999999E-2</v>
      </c>
      <c r="F95" s="14">
        <f>+F94*0.015</f>
        <v>1819.5</v>
      </c>
      <c r="G95" s="14">
        <f>+G94*0.015</f>
        <v>1640.79</v>
      </c>
      <c r="H95" s="14">
        <f>+H94*0.015</f>
        <v>1690.0137</v>
      </c>
      <c r="I95" s="14">
        <f>+I94*0.015</f>
        <v>2137.9150709999999</v>
      </c>
      <c r="J95" s="14">
        <f>+J94*0.015</f>
        <v>2202.0525231300003</v>
      </c>
      <c r="K95" s="14">
        <f>+F95/F94*K94</f>
        <v>226.5</v>
      </c>
      <c r="L95" s="14">
        <v>0</v>
      </c>
      <c r="M95" s="14">
        <f>+K95/K94*M94</f>
        <v>93.75</v>
      </c>
      <c r="N95" s="14">
        <f>+K95/K94*N94</f>
        <v>132.75</v>
      </c>
      <c r="O95" s="14">
        <f t="shared" si="17"/>
        <v>226.5</v>
      </c>
    </row>
    <row r="96" spans="2:15" x14ac:dyDescent="0.2">
      <c r="C96" t="s">
        <v>8</v>
      </c>
      <c r="E96" s="3" t="s">
        <v>52</v>
      </c>
      <c r="F96" s="14">
        <f>+F94*0.0765+0.027*2*7000</f>
        <v>9657.4500000000007</v>
      </c>
      <c r="G96" s="14">
        <f>+G94*0.0765+0.027*2*7000</f>
        <v>8746.0290000000005</v>
      </c>
      <c r="H96" s="14">
        <f>+H94*0.0765+0.027*3*7000</f>
        <v>9186.0698699999994</v>
      </c>
      <c r="I96" s="14">
        <f>+I94*0.0765+0.027*3*7000</f>
        <v>11470.3668621</v>
      </c>
      <c r="J96" s="14">
        <f>+J94*0.0765+0.027*3*7000</f>
        <v>11797.467867963001</v>
      </c>
      <c r="K96" s="14">
        <f>+F96/F94*K94</f>
        <v>1202.205234954658</v>
      </c>
      <c r="L96" s="14">
        <v>0</v>
      </c>
      <c r="M96" s="14">
        <f>+K96/K94*M94</f>
        <v>497.60150453421272</v>
      </c>
      <c r="N96" s="14">
        <f>+K96/K94*N94</f>
        <v>704.60373042044523</v>
      </c>
      <c r="O96" s="14">
        <f t="shared" si="17"/>
        <v>1202.205234954658</v>
      </c>
    </row>
    <row r="97" spans="2:15" x14ac:dyDescent="0.2">
      <c r="C97" t="s">
        <v>9</v>
      </c>
      <c r="E97" s="3" t="str">
        <f>CONCATENATE(ins," per month per employee")</f>
        <v>266.666666666666 per month per employee</v>
      </c>
      <c r="F97" s="14">
        <f>2*ins*13+ins</f>
        <v>7199.9999999999927</v>
      </c>
      <c r="G97" s="14">
        <f>2*ins*12*Inf</f>
        <v>6591.9999999999936</v>
      </c>
      <c r="H97" s="14">
        <f>2*ins*12*Inf^2</f>
        <v>6789.7599999999929</v>
      </c>
      <c r="I97" s="14">
        <f>3*ins*12*Inf^3</f>
        <v>10490.17919999999</v>
      </c>
      <c r="J97" s="14">
        <f>3*ins*12*Inf^4</f>
        <v>10804.884575999989</v>
      </c>
      <c r="K97" s="14">
        <f>+ins*3</f>
        <v>799.9999999999992</v>
      </c>
      <c r="L97" s="14">
        <v>0</v>
      </c>
      <c r="M97" s="14">
        <f>+ins</f>
        <v>266.6666666666664</v>
      </c>
      <c r="N97" s="14">
        <f>+ins*2</f>
        <v>533.3333333333328</v>
      </c>
      <c r="O97" s="14">
        <f t="shared" si="17"/>
        <v>799.9999999999992</v>
      </c>
    </row>
    <row r="98" spans="2:15" ht="15" x14ac:dyDescent="0.35">
      <c r="C98" t="s">
        <v>10</v>
      </c>
      <c r="E98" s="11" t="s">
        <v>53</v>
      </c>
      <c r="F98" s="4">
        <f>+F94*0.01</f>
        <v>1213</v>
      </c>
      <c r="G98" s="4">
        <f>+G94*0.01</f>
        <v>1093.8600000000001</v>
      </c>
      <c r="H98" s="4">
        <f>+H94*0.01</f>
        <v>1126.6758</v>
      </c>
      <c r="I98" s="4">
        <f>+I94*0.01</f>
        <v>1425.2767139999999</v>
      </c>
      <c r="J98" s="4">
        <f>+J94*0.01</f>
        <v>1468.0350154200003</v>
      </c>
      <c r="K98" s="4">
        <f>+F98/F94*K94</f>
        <v>151</v>
      </c>
      <c r="L98" s="4">
        <v>0</v>
      </c>
      <c r="M98" s="4">
        <f>+K98/K94*M94</f>
        <v>62.5</v>
      </c>
      <c r="N98" s="4">
        <f>+K98/K94*N94</f>
        <v>88.5</v>
      </c>
      <c r="O98" s="4">
        <f t="shared" si="17"/>
        <v>151</v>
      </c>
    </row>
    <row r="99" spans="2:15" ht="15" x14ac:dyDescent="0.35">
      <c r="D99" s="5" t="s">
        <v>28</v>
      </c>
      <c r="E99" s="9"/>
      <c r="F99" s="6">
        <f t="shared" ref="F99:O99" si="21">SUM(F95:F98)</f>
        <v>19889.949999999993</v>
      </c>
      <c r="G99" s="6">
        <f t="shared" si="21"/>
        <v>18072.678999999993</v>
      </c>
      <c r="H99" s="6">
        <f t="shared" si="21"/>
        <v>18792.519369999991</v>
      </c>
      <c r="I99" s="6">
        <f t="shared" si="21"/>
        <v>25523.73784709999</v>
      </c>
      <c r="J99" s="6">
        <f t="shared" si="21"/>
        <v>26272.439982512988</v>
      </c>
      <c r="K99" s="6">
        <f t="shared" si="21"/>
        <v>2379.705234954657</v>
      </c>
      <c r="L99" s="6">
        <f t="shared" si="21"/>
        <v>0</v>
      </c>
      <c r="M99" s="6">
        <f t="shared" si="21"/>
        <v>920.51817120087912</v>
      </c>
      <c r="N99" s="6">
        <f t="shared" si="21"/>
        <v>1459.1870637537781</v>
      </c>
      <c r="O99" s="6">
        <f t="shared" si="21"/>
        <v>2379.705234954657</v>
      </c>
    </row>
    <row r="100" spans="2:15" hidden="1" x14ac:dyDescent="0.2">
      <c r="C100" t="s">
        <v>12</v>
      </c>
      <c r="E100" s="3" t="s">
        <v>54</v>
      </c>
      <c r="F100" s="14">
        <v>1000</v>
      </c>
      <c r="G100" s="14">
        <f t="shared" ref="G100:J101" si="22">+F100*Inf</f>
        <v>1030</v>
      </c>
      <c r="H100" s="14">
        <f t="shared" si="22"/>
        <v>1060.9000000000001</v>
      </c>
      <c r="I100" s="14">
        <f t="shared" si="22"/>
        <v>1092.7270000000001</v>
      </c>
      <c r="J100" s="14">
        <f t="shared" si="22"/>
        <v>1125.50881</v>
      </c>
      <c r="O100" s="14">
        <f t="shared" si="17"/>
        <v>0</v>
      </c>
    </row>
    <row r="101" spans="2:15" hidden="1" x14ac:dyDescent="0.2">
      <c r="C101" t="s">
        <v>29</v>
      </c>
      <c r="E101" s="3" t="s">
        <v>138</v>
      </c>
      <c r="F101" s="14">
        <f>750*12</f>
        <v>9000</v>
      </c>
      <c r="G101" s="14">
        <f t="shared" si="22"/>
        <v>9270</v>
      </c>
      <c r="H101" s="14">
        <f t="shared" si="22"/>
        <v>9548.1</v>
      </c>
      <c r="I101" s="14">
        <f t="shared" si="22"/>
        <v>9834.5430000000015</v>
      </c>
      <c r="J101" s="14">
        <f t="shared" si="22"/>
        <v>10129.579290000001</v>
      </c>
      <c r="O101" s="14">
        <f t="shared" si="17"/>
        <v>0</v>
      </c>
    </row>
    <row r="102" spans="2:15" hidden="1" x14ac:dyDescent="0.2">
      <c r="C102" t="s">
        <v>30</v>
      </c>
      <c r="E102" s="3" t="s">
        <v>54</v>
      </c>
      <c r="F102" s="14">
        <v>3600</v>
      </c>
      <c r="G102" s="14">
        <f>+F102*Inf</f>
        <v>3708</v>
      </c>
      <c r="H102" s="14">
        <f>+G102*Inf*1.25</f>
        <v>4774.05</v>
      </c>
      <c r="I102" s="14">
        <f t="shared" ref="I102:J106" si="23">+H102*Inf</f>
        <v>4917.2715000000007</v>
      </c>
      <c r="J102" s="14">
        <f t="shared" si="23"/>
        <v>5064.7896450000007</v>
      </c>
      <c r="O102" s="14">
        <f t="shared" si="17"/>
        <v>0</v>
      </c>
    </row>
    <row r="103" spans="2:15" x14ac:dyDescent="0.2">
      <c r="C103" t="s">
        <v>73</v>
      </c>
      <c r="E103" s="3" t="s">
        <v>54</v>
      </c>
      <c r="F103" s="14">
        <v>7500</v>
      </c>
      <c r="G103" s="14">
        <v>2000</v>
      </c>
      <c r="H103" s="14">
        <f>+G103*Inf</f>
        <v>2060</v>
      </c>
      <c r="I103" s="14">
        <f t="shared" si="23"/>
        <v>2121.8000000000002</v>
      </c>
      <c r="J103" s="14">
        <f t="shared" si="23"/>
        <v>2185.4540000000002</v>
      </c>
      <c r="K103" s="14">
        <v>5000</v>
      </c>
      <c r="L103" s="14">
        <v>0</v>
      </c>
      <c r="M103" s="14">
        <f>+K103/2</f>
        <v>2500</v>
      </c>
      <c r="N103" s="14">
        <f>+M103</f>
        <v>2500</v>
      </c>
      <c r="O103" s="14">
        <f t="shared" si="17"/>
        <v>5000</v>
      </c>
    </row>
    <row r="104" spans="2:15" ht="15" x14ac:dyDescent="0.35">
      <c r="C104" t="s">
        <v>13</v>
      </c>
      <c r="E104" s="3" t="s">
        <v>54</v>
      </c>
      <c r="F104" s="14">
        <f>300*12</f>
        <v>3600</v>
      </c>
      <c r="G104" s="14">
        <f>F104*Inf*1.25</f>
        <v>4635</v>
      </c>
      <c r="H104" s="14">
        <f>+G104*Inf</f>
        <v>4774.05</v>
      </c>
      <c r="I104" s="14">
        <f t="shared" si="23"/>
        <v>4917.2715000000007</v>
      </c>
      <c r="J104" s="14">
        <f t="shared" si="23"/>
        <v>5064.7896450000007</v>
      </c>
      <c r="K104" s="14">
        <v>2400</v>
      </c>
      <c r="L104" s="4">
        <v>0</v>
      </c>
      <c r="M104" s="4">
        <v>0</v>
      </c>
      <c r="N104" s="4">
        <f>+K104</f>
        <v>2400</v>
      </c>
      <c r="O104" s="4">
        <f t="shared" si="17"/>
        <v>2400</v>
      </c>
    </row>
    <row r="105" spans="2:15" hidden="1" x14ac:dyDescent="0.2">
      <c r="C105" t="s">
        <v>15</v>
      </c>
      <c r="E105" s="3" t="s">
        <v>54</v>
      </c>
      <c r="F105" s="14">
        <v>4000</v>
      </c>
      <c r="G105" s="14">
        <f>+F105/3*Inf</f>
        <v>1373.3333333333333</v>
      </c>
      <c r="H105" s="14">
        <f>+G105*Inf</f>
        <v>1414.5333333333333</v>
      </c>
      <c r="I105" s="14">
        <f t="shared" si="23"/>
        <v>1456.9693333333335</v>
      </c>
      <c r="J105" s="14">
        <f t="shared" si="23"/>
        <v>1500.6784133333335</v>
      </c>
      <c r="O105" s="14">
        <f t="shared" si="17"/>
        <v>0</v>
      </c>
    </row>
    <row r="106" spans="2:15" ht="15" hidden="1" x14ac:dyDescent="0.35">
      <c r="C106" t="s">
        <v>16</v>
      </c>
      <c r="E106" s="3" t="s">
        <v>54</v>
      </c>
      <c r="F106" s="4">
        <v>1500</v>
      </c>
      <c r="G106" s="4">
        <f>+F106/3*Inf</f>
        <v>515</v>
      </c>
      <c r="H106" s="4">
        <f>+G106*Inf</f>
        <v>530.45000000000005</v>
      </c>
      <c r="I106" s="4">
        <f t="shared" si="23"/>
        <v>546.36350000000004</v>
      </c>
      <c r="J106" s="4">
        <f t="shared" si="23"/>
        <v>562.75440500000002</v>
      </c>
      <c r="K106" s="4"/>
      <c r="L106" s="4"/>
      <c r="M106" s="4"/>
      <c r="N106" s="4"/>
      <c r="O106" s="14">
        <f t="shared" si="17"/>
        <v>0</v>
      </c>
    </row>
    <row r="107" spans="2:15" ht="15" x14ac:dyDescent="0.35">
      <c r="B107" s="5"/>
      <c r="C107" s="5"/>
      <c r="D107" s="5" t="s">
        <v>31</v>
      </c>
      <c r="E107" s="9"/>
      <c r="F107" s="6">
        <f t="shared" ref="F107:O107" si="24">SUM(F100:F106)</f>
        <v>30200</v>
      </c>
      <c r="G107" s="6">
        <f t="shared" si="24"/>
        <v>22531.333333333332</v>
      </c>
      <c r="H107" s="6">
        <f t="shared" si="24"/>
        <v>24162.083333333332</v>
      </c>
      <c r="I107" s="6">
        <f t="shared" si="24"/>
        <v>24886.945833333339</v>
      </c>
      <c r="J107" s="6">
        <f t="shared" si="24"/>
        <v>25633.554208333338</v>
      </c>
      <c r="K107" s="6">
        <f t="shared" si="24"/>
        <v>7400</v>
      </c>
      <c r="L107" s="6">
        <f t="shared" si="24"/>
        <v>0</v>
      </c>
      <c r="M107" s="6">
        <f t="shared" si="24"/>
        <v>2500</v>
      </c>
      <c r="N107" s="6">
        <f t="shared" si="24"/>
        <v>4900</v>
      </c>
      <c r="O107" s="6">
        <f t="shared" si="24"/>
        <v>7400</v>
      </c>
    </row>
    <row r="108" spans="2:15" ht="15" x14ac:dyDescent="0.35">
      <c r="B108" s="5" t="s">
        <v>32</v>
      </c>
      <c r="C108" s="5"/>
      <c r="D108" s="5"/>
      <c r="E108" s="9"/>
      <c r="F108" s="6">
        <f t="shared" ref="F108:O108" si="25">SUM(F107,F99,F94)</f>
        <v>171389.95</v>
      </c>
      <c r="G108" s="6">
        <f t="shared" si="25"/>
        <v>149990.01233333332</v>
      </c>
      <c r="H108" s="6">
        <f t="shared" si="25"/>
        <v>155622.18270333332</v>
      </c>
      <c r="I108" s="6">
        <f t="shared" si="25"/>
        <v>192938.35508043331</v>
      </c>
      <c r="J108" s="6">
        <f t="shared" si="25"/>
        <v>198709.49573284632</v>
      </c>
      <c r="K108" s="6">
        <f t="shared" si="25"/>
        <v>24879.705234954657</v>
      </c>
      <c r="L108" s="6">
        <f t="shared" si="25"/>
        <v>0</v>
      </c>
      <c r="M108" s="6">
        <f t="shared" si="25"/>
        <v>9670.518171200878</v>
      </c>
      <c r="N108" s="6">
        <f t="shared" si="25"/>
        <v>15209.187063753778</v>
      </c>
      <c r="O108" s="6">
        <f t="shared" si="25"/>
        <v>24879.705234954657</v>
      </c>
    </row>
    <row r="110" spans="2:15" hidden="1" x14ac:dyDescent="0.2">
      <c r="B110" s="5" t="s">
        <v>50</v>
      </c>
      <c r="O110" s="14">
        <f t="shared" si="17"/>
        <v>0</v>
      </c>
    </row>
    <row r="111" spans="2:15" hidden="1" x14ac:dyDescent="0.2">
      <c r="B111" s="5"/>
      <c r="C111" t="s">
        <v>33</v>
      </c>
      <c r="F111" s="14" t="e">
        <f>37500+20*10*F7</f>
        <v>#REF!</v>
      </c>
      <c r="G111" s="14" t="e">
        <f>37500+20*10*G7</f>
        <v>#REF!</v>
      </c>
      <c r="H111" s="14" t="e">
        <f>37500+20*10*H7</f>
        <v>#REF!</v>
      </c>
      <c r="I111" s="14" t="e">
        <f>37500+20*10*I7</f>
        <v>#REF!</v>
      </c>
      <c r="J111" s="14" t="e">
        <f>37500+20*10*J7</f>
        <v>#REF!</v>
      </c>
      <c r="O111" s="14">
        <f t="shared" si="17"/>
        <v>0</v>
      </c>
    </row>
    <row r="112" spans="2:15" hidden="1" x14ac:dyDescent="0.2">
      <c r="B112" s="5"/>
      <c r="C112" t="s">
        <v>78</v>
      </c>
      <c r="E112" s="3" t="s">
        <v>139</v>
      </c>
      <c r="F112" s="14">
        <v>3000</v>
      </c>
      <c r="G112" s="14">
        <v>0</v>
      </c>
      <c r="H112" s="14">
        <v>0</v>
      </c>
      <c r="I112" s="14" t="e">
        <f>2000*(#REF!-#REF!)*Inf^3</f>
        <v>#REF!</v>
      </c>
      <c r="J112" s="14" t="e">
        <f>2000*(#REF!-#REF!)*Inf^4</f>
        <v>#REF!</v>
      </c>
      <c r="O112" s="14">
        <f t="shared" si="17"/>
        <v>0</v>
      </c>
    </row>
    <row r="113" spans="2:15" ht="15" hidden="1" x14ac:dyDescent="0.35">
      <c r="B113" s="5"/>
      <c r="C113" t="s">
        <v>79</v>
      </c>
      <c r="E113" s="3" t="s">
        <v>54</v>
      </c>
      <c r="F113" s="4">
        <v>2000</v>
      </c>
      <c r="G113" s="4">
        <v>0</v>
      </c>
      <c r="H113" s="4">
        <v>0</v>
      </c>
      <c r="I113" s="4">
        <v>0</v>
      </c>
      <c r="J113" s="4">
        <v>0</v>
      </c>
      <c r="K113" s="4"/>
      <c r="L113" s="4"/>
      <c r="M113" s="4"/>
      <c r="N113" s="4"/>
      <c r="O113" s="14">
        <f t="shared" si="17"/>
        <v>0</v>
      </c>
    </row>
    <row r="114" spans="2:15" ht="15" hidden="1" x14ac:dyDescent="0.35">
      <c r="B114" s="5" t="s">
        <v>77</v>
      </c>
      <c r="C114" s="5"/>
      <c r="D114" s="5"/>
      <c r="E114" s="9"/>
      <c r="F114" s="6" t="e">
        <f t="shared" ref="F114:O114" si="26">SUM(F111:F113)</f>
        <v>#REF!</v>
      </c>
      <c r="G114" s="6" t="e">
        <f t="shared" si="26"/>
        <v>#REF!</v>
      </c>
      <c r="H114" s="6" t="e">
        <f t="shared" si="26"/>
        <v>#REF!</v>
      </c>
      <c r="I114" s="6" t="e">
        <f t="shared" si="26"/>
        <v>#REF!</v>
      </c>
      <c r="J114" s="6" t="e">
        <f t="shared" si="26"/>
        <v>#REF!</v>
      </c>
      <c r="K114" s="6">
        <f t="shared" si="26"/>
        <v>0</v>
      </c>
      <c r="L114" s="6">
        <f t="shared" si="26"/>
        <v>0</v>
      </c>
      <c r="M114" s="6">
        <f t="shared" si="26"/>
        <v>0</v>
      </c>
      <c r="N114" s="6">
        <f t="shared" si="26"/>
        <v>0</v>
      </c>
      <c r="O114" s="6">
        <f t="shared" si="26"/>
        <v>0</v>
      </c>
    </row>
    <row r="115" spans="2:15" hidden="1" x14ac:dyDescent="0.2">
      <c r="O115" s="14">
        <f t="shared" si="17"/>
        <v>0</v>
      </c>
    </row>
    <row r="116" spans="2:15" hidden="1" x14ac:dyDescent="0.2">
      <c r="B116" s="5" t="s">
        <v>34</v>
      </c>
      <c r="O116" s="14">
        <f t="shared" si="17"/>
        <v>0</v>
      </c>
    </row>
    <row r="117" spans="2:15" hidden="1" x14ac:dyDescent="0.2">
      <c r="C117" t="s">
        <v>46</v>
      </c>
      <c r="E117" s="11" t="s">
        <v>85</v>
      </c>
      <c r="F117" s="14">
        <f>IF(Misc!B25=0,('Cash Flow 07'!F13-F85)*0.03,150000+Misc!B25)*0</f>
        <v>0</v>
      </c>
      <c r="G117" s="14" t="e">
        <f>IF(Misc!C25=0,('Cash Flow 07'!G13-G85)*0.03,150000+Misc!C25)*0</f>
        <v>#REF!</v>
      </c>
      <c r="H117" s="14" t="e">
        <f>IF(Misc!D25=0,('Cash Flow 07'!H13-H85)*0.03,150000+Misc!D25)*0</f>
        <v>#REF!</v>
      </c>
      <c r="I117" s="14" t="e">
        <f>IF(Misc!E25=0,('Cash Flow 07'!I13-I85)*0.03,150000+Misc!E25)*0</f>
        <v>#REF!</v>
      </c>
      <c r="J117" s="14" t="e">
        <f>IF(Misc!F25=0,('Cash Flow 07'!J13-J85)*0.03,150000+Misc!F25)*0</f>
        <v>#REF!</v>
      </c>
      <c r="O117" s="14">
        <f t="shared" si="17"/>
        <v>0</v>
      </c>
    </row>
    <row r="118" spans="2:15" ht="15" hidden="1" x14ac:dyDescent="0.35">
      <c r="C118" t="s">
        <v>47</v>
      </c>
      <c r="E118" s="11" t="s">
        <v>86</v>
      </c>
      <c r="F118" s="4" t="e">
        <f>0.0325*(F25+F73+F94)*0</f>
        <v>#REF!</v>
      </c>
      <c r="G118" s="4" t="e">
        <f>0.0325*(G25+G73+G94)*0</f>
        <v>#REF!</v>
      </c>
      <c r="H118" s="4" t="e">
        <f>0.0325*(H25+H73+H94)*0</f>
        <v>#REF!</v>
      </c>
      <c r="I118" s="4" t="e">
        <f>0.0325*(I25+I73+I94)*0</f>
        <v>#REF!</v>
      </c>
      <c r="J118" s="4" t="e">
        <f>0.0325*(J25+J73+J94)*0</f>
        <v>#REF!</v>
      </c>
      <c r="K118" s="4"/>
      <c r="L118" s="4"/>
      <c r="M118" s="4"/>
      <c r="N118" s="4"/>
      <c r="O118" s="14">
        <f t="shared" si="17"/>
        <v>0</v>
      </c>
    </row>
    <row r="119" spans="2:15" ht="15" hidden="1" x14ac:dyDescent="0.35">
      <c r="B119" s="5" t="s">
        <v>48</v>
      </c>
      <c r="C119" s="5"/>
      <c r="D119" s="5"/>
      <c r="E119" s="9"/>
      <c r="F119" s="6" t="e">
        <f>SUM(F117:F118)</f>
        <v>#REF!</v>
      </c>
      <c r="G119" s="6" t="e">
        <f>SUM(G117:G118)</f>
        <v>#REF!</v>
      </c>
      <c r="H119" s="6" t="e">
        <f>SUM(H117:H118)</f>
        <v>#REF!</v>
      </c>
      <c r="I119" s="6" t="e">
        <f>SUM(I117:I118)</f>
        <v>#REF!</v>
      </c>
      <c r="J119" s="6" t="e">
        <f>SUM(J117:J118)</f>
        <v>#REF!</v>
      </c>
      <c r="K119" s="6"/>
      <c r="L119" s="6"/>
      <c r="M119" s="6"/>
      <c r="N119" s="6"/>
      <c r="O119" s="14">
        <f t="shared" si="17"/>
        <v>0</v>
      </c>
    </row>
    <row r="120" spans="2:15" ht="15" hidden="1" x14ac:dyDescent="0.35">
      <c r="B120" s="5"/>
      <c r="C120" s="5"/>
      <c r="D120" s="5"/>
      <c r="E120" s="9"/>
      <c r="F120" s="6"/>
      <c r="G120" s="6"/>
      <c r="H120" s="6"/>
      <c r="I120" s="6"/>
      <c r="J120" s="6"/>
      <c r="K120" s="6"/>
      <c r="L120" s="6"/>
      <c r="M120" s="6"/>
      <c r="N120" s="6"/>
      <c r="O120" s="14">
        <f t="shared" si="17"/>
        <v>0</v>
      </c>
    </row>
    <row r="121" spans="2:15" hidden="1" x14ac:dyDescent="0.2">
      <c r="B121" s="5" t="s">
        <v>80</v>
      </c>
      <c r="O121" s="14">
        <f t="shared" si="17"/>
        <v>0</v>
      </c>
    </row>
    <row r="122" spans="2:15" ht="15" hidden="1" x14ac:dyDescent="0.35">
      <c r="C122" t="s">
        <v>147</v>
      </c>
      <c r="E122" s="3" t="s">
        <v>135</v>
      </c>
      <c r="F122" s="4">
        <f>2*12*4*180</f>
        <v>17280</v>
      </c>
      <c r="G122" s="4">
        <f>+F122*Inf</f>
        <v>17798.400000000001</v>
      </c>
      <c r="H122" s="4">
        <f>+G122*Inf</f>
        <v>18332.352000000003</v>
      </c>
      <c r="I122" s="4">
        <f>+H122*Inf</f>
        <v>18882.322560000004</v>
      </c>
      <c r="J122" s="4">
        <f>+I122*Inf</f>
        <v>19448.792236800004</v>
      </c>
      <c r="K122" s="4"/>
      <c r="L122" s="4"/>
      <c r="M122" s="4"/>
      <c r="N122" s="4"/>
      <c r="O122" s="14">
        <f t="shared" si="17"/>
        <v>0</v>
      </c>
    </row>
    <row r="123" spans="2:15" ht="15" hidden="1" x14ac:dyDescent="0.35">
      <c r="D123" s="5" t="s">
        <v>148</v>
      </c>
      <c r="E123" s="9"/>
      <c r="F123" s="6">
        <f t="shared" ref="F123:O123" si="27">SUM(F122)</f>
        <v>17280</v>
      </c>
      <c r="G123" s="6">
        <f t="shared" si="27"/>
        <v>17798.400000000001</v>
      </c>
      <c r="H123" s="6">
        <f t="shared" si="27"/>
        <v>18332.352000000003</v>
      </c>
      <c r="I123" s="6">
        <f t="shared" si="27"/>
        <v>18882.322560000004</v>
      </c>
      <c r="J123" s="6">
        <f t="shared" si="27"/>
        <v>19448.792236800004</v>
      </c>
      <c r="K123" s="6">
        <f t="shared" si="27"/>
        <v>0</v>
      </c>
      <c r="L123" s="6">
        <f t="shared" si="27"/>
        <v>0</v>
      </c>
      <c r="M123" s="6">
        <f t="shared" si="27"/>
        <v>0</v>
      </c>
      <c r="N123" s="6">
        <f t="shared" si="27"/>
        <v>0</v>
      </c>
      <c r="O123" s="6">
        <f t="shared" si="27"/>
        <v>0</v>
      </c>
    </row>
    <row r="124" spans="2:15" hidden="1" x14ac:dyDescent="0.2">
      <c r="C124" t="s">
        <v>7</v>
      </c>
      <c r="E124" s="13">
        <v>1.4999999999999999E-2</v>
      </c>
      <c r="F124" s="14">
        <f>+F123*0.015</f>
        <v>259.2</v>
      </c>
      <c r="G124" s="14">
        <f>+G123*0.015</f>
        <v>266.976</v>
      </c>
      <c r="H124" s="14">
        <f>+H123*0.015</f>
        <v>274.98528000000005</v>
      </c>
      <c r="I124" s="14">
        <f>+I123*0.015</f>
        <v>283.23483840000006</v>
      </c>
      <c r="J124" s="14">
        <f>+J123*0.015</f>
        <v>291.73188355200006</v>
      </c>
      <c r="O124" s="14">
        <f t="shared" si="17"/>
        <v>0</v>
      </c>
    </row>
    <row r="125" spans="2:15" hidden="1" x14ac:dyDescent="0.2">
      <c r="C125" t="s">
        <v>8</v>
      </c>
      <c r="E125" s="3" t="s">
        <v>52</v>
      </c>
      <c r="F125" s="14">
        <f>+F123*0.0765+0.027*2*7000</f>
        <v>1699.92</v>
      </c>
      <c r="G125" s="14">
        <f>+G123*0.0765+0.027*2*7000</f>
        <v>1739.5776000000001</v>
      </c>
      <c r="H125" s="14">
        <f>+H123*0.0765+0.027*2*7000</f>
        <v>1780.4249280000001</v>
      </c>
      <c r="I125" s="14">
        <f>+I123*0.0765+0.027*2*7000</f>
        <v>1822.4976758400003</v>
      </c>
      <c r="J125" s="14">
        <f>+J123*0.0765+0.027*2*7000</f>
        <v>1865.8326061152002</v>
      </c>
      <c r="O125" s="14">
        <f t="shared" si="17"/>
        <v>0</v>
      </c>
    </row>
    <row r="126" spans="2:15" hidden="1" x14ac:dyDescent="0.2">
      <c r="C126" t="s">
        <v>9</v>
      </c>
      <c r="E126" s="3" t="str">
        <f>CONCATENATE(ins," per month per employee")</f>
        <v>266.666666666666 per month per employee</v>
      </c>
      <c r="F126" s="14">
        <f>2*ins*12*0</f>
        <v>0</v>
      </c>
      <c r="G126" s="14">
        <f>2*ins*12*Inf*0</f>
        <v>0</v>
      </c>
      <c r="H126" s="14">
        <f>2*ins*12*Inf^2*0</f>
        <v>0</v>
      </c>
      <c r="I126" s="14">
        <f>2*ins*12*Inf^3*0</f>
        <v>0</v>
      </c>
      <c r="J126" s="14">
        <f>2*ins*12*Inf^4*0</f>
        <v>0</v>
      </c>
      <c r="O126" s="14">
        <f t="shared" si="17"/>
        <v>0</v>
      </c>
    </row>
    <row r="127" spans="2:15" ht="15" hidden="1" x14ac:dyDescent="0.35">
      <c r="C127" t="s">
        <v>10</v>
      </c>
      <c r="E127" s="11" t="s">
        <v>53</v>
      </c>
      <c r="F127" s="4">
        <f>+F123*0.01</f>
        <v>172.8</v>
      </c>
      <c r="G127" s="4">
        <f>+G123*0.01</f>
        <v>177.98400000000001</v>
      </c>
      <c r="H127" s="4">
        <f>+H123*0.01</f>
        <v>183.32352000000003</v>
      </c>
      <c r="I127" s="4">
        <f>+I123*0.01</f>
        <v>188.82322560000006</v>
      </c>
      <c r="J127" s="4">
        <f>+J123*0.01</f>
        <v>194.48792236800003</v>
      </c>
      <c r="K127" s="4"/>
      <c r="L127" s="4"/>
      <c r="M127" s="4"/>
      <c r="N127" s="4"/>
      <c r="O127" s="14">
        <f t="shared" si="17"/>
        <v>0</v>
      </c>
    </row>
    <row r="128" spans="2:15" ht="15" hidden="1" x14ac:dyDescent="0.35">
      <c r="D128" s="5" t="s">
        <v>149</v>
      </c>
      <c r="E128" s="9"/>
      <c r="F128" s="6">
        <f t="shared" ref="F128:O128" si="28">SUM(F124:F127)</f>
        <v>2131.92</v>
      </c>
      <c r="G128" s="6">
        <f t="shared" si="28"/>
        <v>2184.5376000000001</v>
      </c>
      <c r="H128" s="6">
        <f t="shared" si="28"/>
        <v>2238.7337280000002</v>
      </c>
      <c r="I128" s="6">
        <f t="shared" si="28"/>
        <v>2294.5557398400006</v>
      </c>
      <c r="J128" s="6">
        <f t="shared" si="28"/>
        <v>2352.0524120352002</v>
      </c>
      <c r="K128" s="6">
        <f t="shared" si="28"/>
        <v>0</v>
      </c>
      <c r="L128" s="6">
        <f t="shared" si="28"/>
        <v>0</v>
      </c>
      <c r="M128" s="6">
        <f t="shared" si="28"/>
        <v>0</v>
      </c>
      <c r="N128" s="6">
        <f t="shared" si="28"/>
        <v>0</v>
      </c>
      <c r="O128" s="6">
        <f t="shared" si="28"/>
        <v>0</v>
      </c>
    </row>
    <row r="129" spans="2:15" ht="15" hidden="1" x14ac:dyDescent="0.35">
      <c r="B129" s="5"/>
      <c r="C129" t="s">
        <v>11</v>
      </c>
      <c r="F129" s="4" t="e">
        <f>1.1*180*F7*0.8*0</f>
        <v>#REF!</v>
      </c>
      <c r="G129" s="4" t="e">
        <f>1.1*180*G7*0.8*Inf</f>
        <v>#REF!</v>
      </c>
      <c r="H129" s="4" t="e">
        <f>1.1*180*H7*0.8*Inf^2</f>
        <v>#REF!</v>
      </c>
      <c r="I129" s="4" t="e">
        <f>1.1*180*I7*0.8*Inf^3</f>
        <v>#REF!</v>
      </c>
      <c r="J129" s="4" t="e">
        <f>1.1*180*J7*0.8*Inf^4</f>
        <v>#REF!</v>
      </c>
      <c r="K129" s="4"/>
      <c r="L129" s="4"/>
      <c r="M129" s="4"/>
      <c r="N129" s="4"/>
      <c r="O129" s="14">
        <f t="shared" si="17"/>
        <v>0</v>
      </c>
    </row>
    <row r="130" spans="2:15" ht="15" hidden="1" x14ac:dyDescent="0.35">
      <c r="D130" s="5" t="s">
        <v>150</v>
      </c>
      <c r="E130" s="9"/>
      <c r="F130" s="6" t="e">
        <f t="shared" ref="F130:O130" si="29">SUM(F129)</f>
        <v>#REF!</v>
      </c>
      <c r="G130" s="6" t="e">
        <f t="shared" si="29"/>
        <v>#REF!</v>
      </c>
      <c r="H130" s="6" t="e">
        <f t="shared" si="29"/>
        <v>#REF!</v>
      </c>
      <c r="I130" s="6" t="e">
        <f t="shared" si="29"/>
        <v>#REF!</v>
      </c>
      <c r="J130" s="6" t="e">
        <f t="shared" si="29"/>
        <v>#REF!</v>
      </c>
      <c r="K130" s="6">
        <f t="shared" si="29"/>
        <v>0</v>
      </c>
      <c r="L130" s="6">
        <f t="shared" si="29"/>
        <v>0</v>
      </c>
      <c r="M130" s="6">
        <f t="shared" si="29"/>
        <v>0</v>
      </c>
      <c r="N130" s="6">
        <f t="shared" si="29"/>
        <v>0</v>
      </c>
      <c r="O130" s="6">
        <f t="shared" si="29"/>
        <v>0</v>
      </c>
    </row>
    <row r="131" spans="2:15" ht="15" hidden="1" x14ac:dyDescent="0.35">
      <c r="B131" s="5" t="s">
        <v>151</v>
      </c>
      <c r="C131" s="5"/>
      <c r="D131" s="5"/>
      <c r="E131" s="3" t="s">
        <v>141</v>
      </c>
      <c r="F131" s="6" t="e">
        <f t="shared" ref="F131:O131" si="30">+F123+F128+F130</f>
        <v>#REF!</v>
      </c>
      <c r="G131" s="6" t="e">
        <f t="shared" si="30"/>
        <v>#REF!</v>
      </c>
      <c r="H131" s="6" t="e">
        <f t="shared" si="30"/>
        <v>#REF!</v>
      </c>
      <c r="I131" s="6" t="e">
        <f t="shared" si="30"/>
        <v>#REF!</v>
      </c>
      <c r="J131" s="6" t="e">
        <f t="shared" si="30"/>
        <v>#REF!</v>
      </c>
      <c r="K131" s="6">
        <f t="shared" si="30"/>
        <v>0</v>
      </c>
      <c r="L131" s="6">
        <f t="shared" si="30"/>
        <v>0</v>
      </c>
      <c r="M131" s="6">
        <f t="shared" si="30"/>
        <v>0</v>
      </c>
      <c r="N131" s="6">
        <f t="shared" si="30"/>
        <v>0</v>
      </c>
      <c r="O131" s="6">
        <f t="shared" si="30"/>
        <v>0</v>
      </c>
    </row>
    <row r="132" spans="2:15" hidden="1" x14ac:dyDescent="0.2"/>
    <row r="133" spans="2:15" hidden="1" x14ac:dyDescent="0.2">
      <c r="B133" s="5" t="s">
        <v>35</v>
      </c>
      <c r="O133" s="14">
        <f t="shared" si="17"/>
        <v>0</v>
      </c>
    </row>
    <row r="134" spans="2:15" ht="15" hidden="1" x14ac:dyDescent="0.35">
      <c r="C134" s="5" t="s">
        <v>11</v>
      </c>
      <c r="D134" s="5"/>
      <c r="E134" s="3" t="s">
        <v>108</v>
      </c>
      <c r="F134" s="6">
        <f>2*220*180</f>
        <v>79200</v>
      </c>
      <c r="G134" s="6" t="e">
        <f>603.75*G7/2*Inf</f>
        <v>#REF!</v>
      </c>
      <c r="H134" s="6" t="e">
        <f>603.75*H7/2*Inf^2</f>
        <v>#REF!</v>
      </c>
      <c r="I134" s="6" t="e">
        <f>603.75*I7/2*Inf^3</f>
        <v>#REF!</v>
      </c>
      <c r="J134" s="6" t="e">
        <f t="shared" ref="J134:O134" si="31">603.75*J7/2*Inf^4</f>
        <v>#REF!</v>
      </c>
      <c r="K134" s="6">
        <f t="shared" si="31"/>
        <v>0</v>
      </c>
      <c r="L134" s="6">
        <f t="shared" si="31"/>
        <v>0</v>
      </c>
      <c r="M134" s="6">
        <f t="shared" si="31"/>
        <v>0</v>
      </c>
      <c r="N134" s="6">
        <f t="shared" si="31"/>
        <v>0</v>
      </c>
      <c r="O134" s="6">
        <f t="shared" si="31"/>
        <v>0</v>
      </c>
    </row>
    <row r="135" spans="2:15" hidden="1" x14ac:dyDescent="0.2"/>
    <row r="136" spans="2:15" hidden="1" x14ac:dyDescent="0.2">
      <c r="B136" s="5" t="s">
        <v>36</v>
      </c>
      <c r="O136" s="14">
        <f t="shared" si="17"/>
        <v>0</v>
      </c>
    </row>
    <row r="137" spans="2:15" ht="15" hidden="1" x14ac:dyDescent="0.35">
      <c r="C137" t="s">
        <v>152</v>
      </c>
      <c r="E137" s="3" t="s">
        <v>135</v>
      </c>
      <c r="F137" s="4">
        <f>12*40*62</f>
        <v>29760</v>
      </c>
      <c r="G137" s="4">
        <f>+F137*Inf</f>
        <v>30652.799999999999</v>
      </c>
      <c r="H137" s="4">
        <f>+G137*Inf</f>
        <v>31572.384000000002</v>
      </c>
      <c r="I137" s="4">
        <f>+H137*Inf</f>
        <v>32519.555520000002</v>
      </c>
      <c r="J137" s="4">
        <f>+I137*Inf</f>
        <v>33495.142185600002</v>
      </c>
      <c r="K137" s="4"/>
      <c r="L137" s="4"/>
      <c r="M137" s="4"/>
      <c r="N137" s="4"/>
      <c r="O137" s="14">
        <f t="shared" si="17"/>
        <v>0</v>
      </c>
    </row>
    <row r="138" spans="2:15" ht="15" hidden="1" x14ac:dyDescent="0.35">
      <c r="D138" s="5" t="s">
        <v>153</v>
      </c>
      <c r="E138" s="9"/>
      <c r="F138" s="6">
        <f t="shared" ref="F138:O138" si="32">SUM(F137)</f>
        <v>29760</v>
      </c>
      <c r="G138" s="6">
        <f t="shared" si="32"/>
        <v>30652.799999999999</v>
      </c>
      <c r="H138" s="6">
        <f t="shared" si="32"/>
        <v>31572.384000000002</v>
      </c>
      <c r="I138" s="6">
        <f t="shared" si="32"/>
        <v>32519.555520000002</v>
      </c>
      <c r="J138" s="6">
        <f t="shared" si="32"/>
        <v>33495.142185600002</v>
      </c>
      <c r="K138" s="6">
        <f t="shared" si="32"/>
        <v>0</v>
      </c>
      <c r="L138" s="6">
        <f t="shared" si="32"/>
        <v>0</v>
      </c>
      <c r="M138" s="6">
        <f t="shared" si="32"/>
        <v>0</v>
      </c>
      <c r="N138" s="6">
        <f t="shared" si="32"/>
        <v>0</v>
      </c>
      <c r="O138" s="6">
        <f t="shared" si="32"/>
        <v>0</v>
      </c>
    </row>
    <row r="139" spans="2:15" hidden="1" x14ac:dyDescent="0.2">
      <c r="C139" t="s">
        <v>7</v>
      </c>
      <c r="E139" s="13">
        <v>1.4999999999999999E-2</v>
      </c>
      <c r="F139" s="14">
        <f>+F138*0.015</f>
        <v>446.4</v>
      </c>
      <c r="G139" s="14">
        <f>+G138*0.015</f>
        <v>459.79199999999997</v>
      </c>
      <c r="H139" s="14">
        <f>+H138*0.015</f>
        <v>473.58575999999999</v>
      </c>
      <c r="I139" s="14">
        <f>+I138*0.015</f>
        <v>487.79333280000003</v>
      </c>
      <c r="J139" s="14">
        <f>+J138*0.015</f>
        <v>502.42713278399998</v>
      </c>
      <c r="O139" s="14">
        <f t="shared" si="17"/>
        <v>0</v>
      </c>
    </row>
    <row r="140" spans="2:15" hidden="1" x14ac:dyDescent="0.2">
      <c r="C140" t="s">
        <v>8</v>
      </c>
      <c r="E140" s="3" t="s">
        <v>52</v>
      </c>
      <c r="F140" s="14">
        <f>+F138*0.0765+0.027*2*7000</f>
        <v>2654.64</v>
      </c>
      <c r="G140" s="14">
        <f>+G138*0.0765+0.027*2*7000</f>
        <v>2722.9391999999998</v>
      </c>
      <c r="H140" s="14">
        <f>+H138*0.0765+0.027*2*7000</f>
        <v>2793.2873760000002</v>
      </c>
      <c r="I140" s="14">
        <f>+I138*0.0765+0.027*2*7000</f>
        <v>2865.7459972800002</v>
      </c>
      <c r="J140" s="14">
        <f>+J138*0.0765+0.027*2*7000</f>
        <v>2940.3783771983999</v>
      </c>
      <c r="O140" s="14">
        <f t="shared" si="17"/>
        <v>0</v>
      </c>
    </row>
    <row r="141" spans="2:15" hidden="1" x14ac:dyDescent="0.2">
      <c r="C141" t="s">
        <v>9</v>
      </c>
      <c r="E141" s="3" t="str">
        <f>CONCATENATE(ins," per month per employee")</f>
        <v>266.666666666666 per month per employee</v>
      </c>
      <c r="F141" s="14">
        <f>1*ins*12</f>
        <v>3199.9999999999968</v>
      </c>
      <c r="G141" s="14">
        <f>1*ins*12*Inf</f>
        <v>3295.9999999999968</v>
      </c>
      <c r="H141" s="14">
        <f>1*ins*12*Inf^2</f>
        <v>3394.8799999999965</v>
      </c>
      <c r="I141" s="14">
        <f>1*ins*12*Inf^3</f>
        <v>3496.7263999999964</v>
      </c>
      <c r="J141" s="14">
        <f>1*ins*12*Inf^4</f>
        <v>3601.628191999996</v>
      </c>
      <c r="O141" s="14">
        <f t="shared" si="17"/>
        <v>0</v>
      </c>
    </row>
    <row r="142" spans="2:15" ht="15" hidden="1" x14ac:dyDescent="0.35">
      <c r="C142" t="s">
        <v>10</v>
      </c>
      <c r="E142" s="11" t="s">
        <v>53</v>
      </c>
      <c r="F142" s="4">
        <f>+F138*0.01</f>
        <v>297.60000000000002</v>
      </c>
      <c r="G142" s="4">
        <f>+G138*0.01</f>
        <v>306.52800000000002</v>
      </c>
      <c r="H142" s="4">
        <f>+H138*0.01</f>
        <v>315.72384000000005</v>
      </c>
      <c r="I142" s="4">
        <f>+I138*0.01</f>
        <v>325.1955552</v>
      </c>
      <c r="J142" s="4">
        <f>+J138*0.01</f>
        <v>334.95142185600002</v>
      </c>
      <c r="K142" s="4"/>
      <c r="L142" s="4"/>
      <c r="M142" s="4"/>
      <c r="N142" s="4"/>
      <c r="O142" s="14">
        <f t="shared" si="17"/>
        <v>0</v>
      </c>
    </row>
    <row r="143" spans="2:15" ht="15" hidden="1" x14ac:dyDescent="0.35">
      <c r="D143" s="5" t="s">
        <v>154</v>
      </c>
      <c r="E143" s="9"/>
      <c r="F143" s="6">
        <f t="shared" ref="F143:O143" si="33">SUM(F139:F142)</f>
        <v>6598.6399999999976</v>
      </c>
      <c r="G143" s="6">
        <f t="shared" si="33"/>
        <v>6785.2591999999968</v>
      </c>
      <c r="H143" s="6">
        <f t="shared" si="33"/>
        <v>6977.4769759999963</v>
      </c>
      <c r="I143" s="6">
        <f t="shared" si="33"/>
        <v>7175.4612852799964</v>
      </c>
      <c r="J143" s="6">
        <f t="shared" si="33"/>
        <v>7379.3851238383959</v>
      </c>
      <c r="K143" s="6">
        <f t="shared" si="33"/>
        <v>0</v>
      </c>
      <c r="L143" s="6">
        <f t="shared" si="33"/>
        <v>0</v>
      </c>
      <c r="M143" s="6">
        <f t="shared" si="33"/>
        <v>0</v>
      </c>
      <c r="N143" s="6">
        <f t="shared" si="33"/>
        <v>0</v>
      </c>
      <c r="O143" s="6">
        <f t="shared" si="33"/>
        <v>0</v>
      </c>
    </row>
    <row r="144" spans="2:15" hidden="1" x14ac:dyDescent="0.2">
      <c r="C144" t="s">
        <v>11</v>
      </c>
      <c r="F144" s="14">
        <v>1200</v>
      </c>
      <c r="G144" s="14">
        <f t="shared" ref="G144:J146" si="34">+F144*Inf</f>
        <v>1236</v>
      </c>
      <c r="H144" s="14">
        <f t="shared" si="34"/>
        <v>1273.08</v>
      </c>
      <c r="I144" s="14">
        <f t="shared" si="34"/>
        <v>1311.2724000000001</v>
      </c>
      <c r="J144" s="14">
        <f t="shared" si="34"/>
        <v>1350.610572</v>
      </c>
      <c r="O144" s="14">
        <f t="shared" si="17"/>
        <v>0</v>
      </c>
    </row>
    <row r="145" spans="1:15" hidden="1" x14ac:dyDescent="0.2">
      <c r="C145" t="s">
        <v>21</v>
      </c>
      <c r="F145" s="14">
        <v>3000</v>
      </c>
      <c r="G145" s="14">
        <f t="shared" si="34"/>
        <v>3090</v>
      </c>
      <c r="H145" s="14">
        <f t="shared" si="34"/>
        <v>3182.7000000000003</v>
      </c>
      <c r="I145" s="14">
        <f t="shared" si="34"/>
        <v>3278.1810000000005</v>
      </c>
      <c r="J145" s="14">
        <f t="shared" si="34"/>
        <v>3376.5264300000008</v>
      </c>
      <c r="O145" s="14">
        <f t="shared" si="17"/>
        <v>0</v>
      </c>
    </row>
    <row r="146" spans="1:15" hidden="1" x14ac:dyDescent="0.2">
      <c r="C146" t="s">
        <v>37</v>
      </c>
      <c r="F146" s="14">
        <f>400*12</f>
        <v>4800</v>
      </c>
      <c r="G146" s="14">
        <f t="shared" si="34"/>
        <v>4944</v>
      </c>
      <c r="H146" s="14">
        <f t="shared" si="34"/>
        <v>5092.32</v>
      </c>
      <c r="I146" s="14">
        <f t="shared" si="34"/>
        <v>5245.0896000000002</v>
      </c>
      <c r="J146" s="14">
        <f t="shared" si="34"/>
        <v>5402.4422880000002</v>
      </c>
      <c r="O146" s="14">
        <f t="shared" si="17"/>
        <v>0</v>
      </c>
    </row>
    <row r="147" spans="1:15" hidden="1" x14ac:dyDescent="0.2">
      <c r="C147" t="s">
        <v>38</v>
      </c>
      <c r="F147" s="14">
        <f>1000*12</f>
        <v>12000</v>
      </c>
      <c r="G147" s="14" t="e">
        <f>+F147*(1+((G7-F7)/F7)/2)*Inf</f>
        <v>#REF!</v>
      </c>
      <c r="H147" s="14" t="e">
        <f>+G147*(1+((H7-G7)/G7)/2)*Inf</f>
        <v>#REF!</v>
      </c>
      <c r="I147" s="14" t="e">
        <f>+H147*(1+((I7-H7)/H7)/2)*Inf</f>
        <v>#REF!</v>
      </c>
      <c r="J147" s="14" t="e">
        <f>+I147*(1+((J7-I7)/I7)/2)*Inf</f>
        <v>#REF!</v>
      </c>
      <c r="O147" s="14">
        <f t="shared" si="17"/>
        <v>0</v>
      </c>
    </row>
    <row r="148" spans="1:15" hidden="1" x14ac:dyDescent="0.2">
      <c r="C148" t="s">
        <v>13</v>
      </c>
      <c r="F148" s="14">
        <f>150*12</f>
        <v>1800</v>
      </c>
      <c r="G148" s="14" t="e">
        <f>+F148/F7*G7*Inf</f>
        <v>#REF!</v>
      </c>
      <c r="H148" s="14" t="e">
        <f>+G148/G7*H7*Inf^2</f>
        <v>#REF!</v>
      </c>
      <c r="I148" s="14" t="e">
        <f>+H148/H7*I7*Inf^3</f>
        <v>#REF!</v>
      </c>
      <c r="J148" s="14" t="e">
        <f>+I148/I7*J7*Inf^4</f>
        <v>#REF!</v>
      </c>
      <c r="O148" s="14">
        <f t="shared" si="17"/>
        <v>0</v>
      </c>
    </row>
    <row r="149" spans="1:15" ht="15" hidden="1" x14ac:dyDescent="0.35">
      <c r="C149" t="s">
        <v>15</v>
      </c>
      <c r="F149" s="4">
        <v>1000</v>
      </c>
      <c r="G149" s="4">
        <f>+F149*Inf</f>
        <v>1030</v>
      </c>
      <c r="H149" s="4">
        <f>+G149*Inf</f>
        <v>1060.9000000000001</v>
      </c>
      <c r="I149" s="4">
        <f>+H149*Inf</f>
        <v>1092.7270000000001</v>
      </c>
      <c r="J149" s="4">
        <f>+I149*Inf</f>
        <v>1125.50881</v>
      </c>
      <c r="K149" s="4"/>
      <c r="L149" s="4"/>
      <c r="M149" s="4"/>
      <c r="N149" s="4"/>
      <c r="O149" s="14">
        <f t="shared" si="17"/>
        <v>0</v>
      </c>
    </row>
    <row r="150" spans="1:15" ht="15" hidden="1" x14ac:dyDescent="0.35">
      <c r="D150" s="5" t="s">
        <v>155</v>
      </c>
      <c r="E150" s="9"/>
      <c r="F150" s="6">
        <f t="shared" ref="F150:O150" si="35">SUM(F144:F149)</f>
        <v>23800</v>
      </c>
      <c r="G150" s="6" t="e">
        <f t="shared" si="35"/>
        <v>#REF!</v>
      </c>
      <c r="H150" s="6" t="e">
        <f t="shared" si="35"/>
        <v>#REF!</v>
      </c>
      <c r="I150" s="6" t="e">
        <f t="shared" si="35"/>
        <v>#REF!</v>
      </c>
      <c r="J150" s="6" t="e">
        <f t="shared" si="35"/>
        <v>#REF!</v>
      </c>
      <c r="K150" s="6">
        <f t="shared" si="35"/>
        <v>0</v>
      </c>
      <c r="L150" s="6">
        <f t="shared" si="35"/>
        <v>0</v>
      </c>
      <c r="M150" s="6">
        <f t="shared" si="35"/>
        <v>0</v>
      </c>
      <c r="N150" s="6">
        <f t="shared" si="35"/>
        <v>0</v>
      </c>
      <c r="O150" s="6">
        <f t="shared" si="35"/>
        <v>0</v>
      </c>
    </row>
    <row r="151" spans="1:15" ht="15" hidden="1" x14ac:dyDescent="0.35">
      <c r="A151" s="5"/>
      <c r="B151" s="5" t="s">
        <v>39</v>
      </c>
      <c r="C151" s="5"/>
      <c r="D151" s="5"/>
      <c r="E151" s="9"/>
      <c r="F151" s="6">
        <f t="shared" ref="F151:O151" si="36">+F138+F143+F150</f>
        <v>60158.64</v>
      </c>
      <c r="G151" s="6" t="e">
        <f t="shared" si="36"/>
        <v>#REF!</v>
      </c>
      <c r="H151" s="6" t="e">
        <f t="shared" si="36"/>
        <v>#REF!</v>
      </c>
      <c r="I151" s="6" t="e">
        <f t="shared" si="36"/>
        <v>#REF!</v>
      </c>
      <c r="J151" s="6" t="e">
        <f t="shared" si="36"/>
        <v>#REF!</v>
      </c>
      <c r="K151" s="6">
        <f t="shared" si="36"/>
        <v>0</v>
      </c>
      <c r="L151" s="6">
        <f t="shared" si="36"/>
        <v>0</v>
      </c>
      <c r="M151" s="6">
        <f t="shared" si="36"/>
        <v>0</v>
      </c>
      <c r="N151" s="6">
        <f t="shared" si="36"/>
        <v>0</v>
      </c>
      <c r="O151" s="6">
        <f t="shared" si="36"/>
        <v>0</v>
      </c>
    </row>
    <row r="152" spans="1:15" ht="15" hidden="1" x14ac:dyDescent="0.35">
      <c r="A152" s="5"/>
      <c r="B152" s="5"/>
      <c r="C152" s="5"/>
      <c r="D152" s="5"/>
      <c r="E152" s="9"/>
      <c r="F152" s="6"/>
      <c r="G152" s="6"/>
      <c r="H152" s="6"/>
      <c r="I152" s="6"/>
      <c r="J152" s="6"/>
      <c r="K152" s="6"/>
      <c r="L152" s="6"/>
      <c r="M152" s="6"/>
      <c r="N152" s="6"/>
      <c r="O152" s="6"/>
    </row>
    <row r="153" spans="1:15" ht="15" hidden="1" x14ac:dyDescent="0.35">
      <c r="A153" s="5"/>
      <c r="B153" s="5" t="s">
        <v>81</v>
      </c>
      <c r="C153" s="5"/>
      <c r="D153" s="5"/>
      <c r="E153" s="9"/>
      <c r="F153" s="6"/>
      <c r="G153" s="6"/>
      <c r="H153" s="6"/>
      <c r="I153" s="6"/>
      <c r="J153" s="6"/>
      <c r="K153" s="6"/>
      <c r="L153" s="6"/>
      <c r="M153" s="6"/>
      <c r="N153" s="6"/>
      <c r="O153" s="14">
        <f>SUM(L153:N153)</f>
        <v>0</v>
      </c>
    </row>
    <row r="154" spans="1:15" hidden="1" x14ac:dyDescent="0.2">
      <c r="A154" s="5"/>
      <c r="B154" s="5"/>
      <c r="C154" t="s">
        <v>11</v>
      </c>
      <c r="D154" s="5"/>
      <c r="E154" s="9"/>
      <c r="F154" s="14">
        <f>100*12</f>
        <v>1200</v>
      </c>
      <c r="G154" s="14">
        <f t="shared" ref="G154:J155" si="37">+F154*Inf</f>
        <v>1236</v>
      </c>
      <c r="H154" s="14">
        <f t="shared" si="37"/>
        <v>1273.08</v>
      </c>
      <c r="I154" s="14">
        <f t="shared" si="37"/>
        <v>1311.2724000000001</v>
      </c>
      <c r="J154" s="14">
        <f t="shared" si="37"/>
        <v>1350.610572</v>
      </c>
      <c r="O154" s="14">
        <f>SUM(L154:N154)</f>
        <v>0</v>
      </c>
    </row>
    <row r="155" spans="1:15" ht="15" hidden="1" x14ac:dyDescent="0.35">
      <c r="A155" s="5"/>
      <c r="B155" s="5"/>
      <c r="C155" t="s">
        <v>13</v>
      </c>
      <c r="D155" s="5"/>
      <c r="F155" s="10">
        <v>1000</v>
      </c>
      <c r="G155" s="10">
        <f t="shared" si="37"/>
        <v>1030</v>
      </c>
      <c r="H155" s="10">
        <f t="shared" si="37"/>
        <v>1060.9000000000001</v>
      </c>
      <c r="I155" s="10">
        <f t="shared" si="37"/>
        <v>1092.7270000000001</v>
      </c>
      <c r="J155" s="10">
        <f t="shared" si="37"/>
        <v>1125.50881</v>
      </c>
      <c r="K155" s="10"/>
      <c r="L155" s="10"/>
      <c r="M155" s="10"/>
      <c r="N155" s="10"/>
      <c r="O155" s="14">
        <f>SUM(L155:N155)</f>
        <v>0</v>
      </c>
    </row>
    <row r="156" spans="1:15" ht="15" hidden="1" x14ac:dyDescent="0.35">
      <c r="A156" s="5"/>
      <c r="B156" s="5" t="s">
        <v>82</v>
      </c>
      <c r="C156" s="5"/>
      <c r="D156" s="5"/>
      <c r="E156" s="9"/>
      <c r="F156" s="6">
        <f t="shared" ref="F156:O156" si="38">SUM(F154:F155)</f>
        <v>2200</v>
      </c>
      <c r="G156" s="6">
        <f t="shared" si="38"/>
        <v>2266</v>
      </c>
      <c r="H156" s="6">
        <f t="shared" si="38"/>
        <v>2333.98</v>
      </c>
      <c r="I156" s="6">
        <f t="shared" si="38"/>
        <v>2403.9994000000002</v>
      </c>
      <c r="J156" s="6">
        <f t="shared" si="38"/>
        <v>2476.1193819999999</v>
      </c>
      <c r="K156" s="6">
        <f t="shared" si="38"/>
        <v>0</v>
      </c>
      <c r="L156" s="6">
        <f t="shared" si="38"/>
        <v>0</v>
      </c>
      <c r="M156" s="6">
        <f t="shared" si="38"/>
        <v>0</v>
      </c>
      <c r="N156" s="6">
        <f t="shared" si="38"/>
        <v>0</v>
      </c>
      <c r="O156" s="6">
        <f t="shared" si="38"/>
        <v>0</v>
      </c>
    </row>
    <row r="157" spans="1:15" hidden="1" x14ac:dyDescent="0.2">
      <c r="A157" s="5"/>
      <c r="B157" s="5"/>
      <c r="C157" s="5"/>
      <c r="D157" s="5"/>
      <c r="E157" s="9"/>
      <c r="F157" s="8"/>
      <c r="G157" s="8"/>
      <c r="H157" s="8"/>
      <c r="I157" s="8"/>
      <c r="J157" s="8"/>
      <c r="K157" s="8"/>
      <c r="L157" s="8"/>
      <c r="M157" s="8"/>
      <c r="N157" s="8"/>
      <c r="O157" s="8"/>
    </row>
    <row r="158" spans="1:15" ht="15" x14ac:dyDescent="0.35">
      <c r="A158" s="5" t="s">
        <v>40</v>
      </c>
      <c r="B158" s="5"/>
      <c r="C158" s="5"/>
      <c r="D158" s="5"/>
      <c r="E158" s="9"/>
      <c r="F158" s="6" t="e">
        <f t="shared" ref="F158:O158" si="39">SUM(F41,F54,F69,F72,F75,F87,F108,F114,F119,F131,F134,F151,F156)</f>
        <v>#REF!</v>
      </c>
      <c r="G158" s="6" t="e">
        <f t="shared" si="39"/>
        <v>#REF!</v>
      </c>
      <c r="H158" s="6" t="e">
        <f t="shared" si="39"/>
        <v>#REF!</v>
      </c>
      <c r="I158" s="6" t="e">
        <f t="shared" si="39"/>
        <v>#REF!</v>
      </c>
      <c r="J158" s="6" t="e">
        <f t="shared" si="39"/>
        <v>#REF!</v>
      </c>
      <c r="K158" s="6" t="e">
        <f t="shared" si="39"/>
        <v>#REF!</v>
      </c>
      <c r="L158" s="6">
        <f t="shared" si="39"/>
        <v>10000</v>
      </c>
      <c r="M158" s="6" t="e">
        <f t="shared" si="39"/>
        <v>#REF!</v>
      </c>
      <c r="N158" s="6">
        <f t="shared" si="39"/>
        <v>27209.18706375378</v>
      </c>
      <c r="O158" s="6" t="e">
        <f t="shared" si="39"/>
        <v>#REF!</v>
      </c>
    </row>
    <row r="160" spans="1:15" s="5" customFormat="1" ht="15" x14ac:dyDescent="0.35">
      <c r="A160" s="5" t="s">
        <v>83</v>
      </c>
      <c r="E160" s="9"/>
      <c r="F160" s="6" t="e">
        <f t="shared" ref="F160:O160" si="40">+F18-F158</f>
        <v>#REF!</v>
      </c>
      <c r="G160" s="6" t="e">
        <f t="shared" si="40"/>
        <v>#REF!</v>
      </c>
      <c r="H160" s="6" t="e">
        <f t="shared" si="40"/>
        <v>#REF!</v>
      </c>
      <c r="I160" s="6" t="e">
        <f t="shared" si="40"/>
        <v>#REF!</v>
      </c>
      <c r="J160" s="6" t="e">
        <f t="shared" si="40"/>
        <v>#REF!</v>
      </c>
      <c r="K160" s="6" t="e">
        <f t="shared" si="40"/>
        <v>#REF!</v>
      </c>
      <c r="L160" s="6">
        <f t="shared" si="40"/>
        <v>0</v>
      </c>
      <c r="M160" s="6" t="e">
        <f t="shared" si="40"/>
        <v>#REF!</v>
      </c>
      <c r="N160" s="6" t="e">
        <f t="shared" si="40"/>
        <v>#REF!</v>
      </c>
      <c r="O160" s="6" t="e">
        <f t="shared" si="40"/>
        <v>#REF!</v>
      </c>
    </row>
    <row r="162" spans="1:15" ht="15" x14ac:dyDescent="0.35">
      <c r="A162" s="5" t="s">
        <v>172</v>
      </c>
      <c r="F162" s="7" t="e">
        <f>+F160</f>
        <v>#REF!</v>
      </c>
      <c r="G162" s="7" t="e">
        <f t="shared" ref="G162:O162" si="41">+G10+G160</f>
        <v>#REF!</v>
      </c>
      <c r="H162" s="7" t="e">
        <f t="shared" si="41"/>
        <v>#REF!</v>
      </c>
      <c r="I162" s="7" t="e">
        <f t="shared" si="41"/>
        <v>#REF!</v>
      </c>
      <c r="J162" s="7" t="e">
        <f t="shared" si="41"/>
        <v>#REF!</v>
      </c>
      <c r="K162" s="7" t="e">
        <f t="shared" si="41"/>
        <v>#REF!</v>
      </c>
      <c r="L162" s="7">
        <f t="shared" si="41"/>
        <v>0</v>
      </c>
      <c r="M162" s="7" t="e">
        <f t="shared" si="41"/>
        <v>#REF!</v>
      </c>
      <c r="N162" s="7" t="e">
        <f t="shared" si="41"/>
        <v>#REF!</v>
      </c>
      <c r="O162" s="7" t="e">
        <f t="shared" si="41"/>
        <v>#REF!</v>
      </c>
    </row>
  </sheetData>
  <phoneticPr fontId="0" type="noConversion"/>
  <printOptions horizontalCentered="1"/>
  <pageMargins left="0.25" right="0.25" top="0.5" bottom="0.5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workbookViewId="0">
      <selection activeCell="J27" sqref="J27"/>
    </sheetView>
  </sheetViews>
  <sheetFormatPr defaultColWidth="8.7109375" defaultRowHeight="12.75" x14ac:dyDescent="0.2"/>
  <cols>
    <col min="1" max="1" width="13.42578125" bestFit="1" customWidth="1"/>
    <col min="2" max="2" width="11.28515625" bestFit="1" customWidth="1"/>
    <col min="3" max="6" width="10.7109375" bestFit="1" customWidth="1"/>
  </cols>
  <sheetData>
    <row r="1" spans="1:6" x14ac:dyDescent="0.2">
      <c r="A1" t="s">
        <v>64</v>
      </c>
      <c r="B1" s="24">
        <v>1.03</v>
      </c>
    </row>
    <row r="4" spans="1:6" x14ac:dyDescent="0.2">
      <c r="A4" t="s">
        <v>126</v>
      </c>
      <c r="B4" s="18">
        <v>40500</v>
      </c>
    </row>
    <row r="5" spans="1:6" x14ac:dyDescent="0.2">
      <c r="A5" t="s">
        <v>127</v>
      </c>
      <c r="B5">
        <v>0</v>
      </c>
      <c r="C5">
        <f>+_add1</f>
        <v>0</v>
      </c>
      <c r="D5">
        <f>+_add1</f>
        <v>0</v>
      </c>
      <c r="E5">
        <f>+_add1</f>
        <v>0</v>
      </c>
      <c r="F5">
        <f>+_add1</f>
        <v>0</v>
      </c>
    </row>
    <row r="8" spans="1:6" x14ac:dyDescent="0.2">
      <c r="A8" t="s">
        <v>129</v>
      </c>
      <c r="B8" s="18">
        <f>12*180*8</f>
        <v>17280</v>
      </c>
    </row>
    <row r="9" spans="1:6" x14ac:dyDescent="0.2">
      <c r="A9" t="s">
        <v>128</v>
      </c>
      <c r="B9">
        <v>0</v>
      </c>
      <c r="C9">
        <f>+para1</f>
        <v>0</v>
      </c>
      <c r="D9">
        <f>+para1</f>
        <v>0</v>
      </c>
      <c r="E9">
        <f>+para1</f>
        <v>0</v>
      </c>
      <c r="F9">
        <f>+para1</f>
        <v>0</v>
      </c>
    </row>
    <row r="12" spans="1:6" x14ac:dyDescent="0.2">
      <c r="A12" t="s">
        <v>130</v>
      </c>
      <c r="B12" s="18">
        <f>400*0.666666666666666</f>
        <v>266.6666666666664</v>
      </c>
    </row>
    <row r="22" spans="1:6" x14ac:dyDescent="0.2">
      <c r="B22" s="17"/>
      <c r="C22" s="17"/>
      <c r="D22" s="17"/>
      <c r="E22" s="17"/>
      <c r="F22" s="17"/>
    </row>
    <row r="23" spans="1:6" x14ac:dyDescent="0.2">
      <c r="B23" s="17"/>
      <c r="C23" s="17"/>
      <c r="D23" s="17"/>
      <c r="E23" s="17"/>
      <c r="F23" s="17"/>
    </row>
    <row r="30" spans="1:6" x14ac:dyDescent="0.2">
      <c r="A30" t="s">
        <v>158</v>
      </c>
    </row>
    <row r="31" spans="1:6" x14ac:dyDescent="0.2">
      <c r="A31" t="s">
        <v>159</v>
      </c>
      <c r="B31" t="e">
        <f>225*#REF!</f>
        <v>#REF!</v>
      </c>
    </row>
    <row r="32" spans="1:6" x14ac:dyDescent="0.2">
      <c r="A32" t="s">
        <v>160</v>
      </c>
      <c r="B32" s="20">
        <v>0.105</v>
      </c>
    </row>
    <row r="33" spans="1:2" x14ac:dyDescent="0.2">
      <c r="A33" t="s">
        <v>161</v>
      </c>
      <c r="B33">
        <v>36</v>
      </c>
    </row>
    <row r="37" spans="1:2" x14ac:dyDescent="0.2">
      <c r="A37" t="s">
        <v>205</v>
      </c>
    </row>
    <row r="38" spans="1:2" x14ac:dyDescent="0.2">
      <c r="A38" t="s">
        <v>159</v>
      </c>
      <c r="B38" t="e">
        <f>1250*#REF!</f>
        <v>#REF!</v>
      </c>
    </row>
    <row r="39" spans="1:2" x14ac:dyDescent="0.2">
      <c r="A39" t="s">
        <v>160</v>
      </c>
      <c r="B39" s="20">
        <f>+B32</f>
        <v>0.105</v>
      </c>
    </row>
    <row r="40" spans="1:2" x14ac:dyDescent="0.2">
      <c r="A40" t="s">
        <v>161</v>
      </c>
      <c r="B40">
        <v>36</v>
      </c>
    </row>
    <row r="44" spans="1:2" x14ac:dyDescent="0.2">
      <c r="A44" t="s">
        <v>206</v>
      </c>
    </row>
    <row r="45" spans="1:2" x14ac:dyDescent="0.2">
      <c r="A45" t="s">
        <v>159</v>
      </c>
      <c r="B45" s="14" t="e">
        <f>750*(#REF!-#REF!)</f>
        <v>#REF!</v>
      </c>
    </row>
    <row r="46" spans="1:2" x14ac:dyDescent="0.2">
      <c r="A46" t="s">
        <v>160</v>
      </c>
      <c r="B46" s="20">
        <f>+B39</f>
        <v>0.105</v>
      </c>
    </row>
    <row r="47" spans="1:2" x14ac:dyDescent="0.2">
      <c r="A47" t="s">
        <v>161</v>
      </c>
      <c r="B47">
        <v>36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D252"/>
  <sheetViews>
    <sheetView tabSelected="1" zoomScale="131" zoomScaleNormal="131" zoomScalePageLayoutView="131" workbookViewId="0">
      <selection activeCell="A3" sqref="A3:AB3"/>
    </sheetView>
  </sheetViews>
  <sheetFormatPr defaultColWidth="8.7109375" defaultRowHeight="12.75" x14ac:dyDescent="0.2"/>
  <cols>
    <col min="1" max="3" width="2.7109375" customWidth="1"/>
    <col min="4" max="4" width="36" customWidth="1"/>
    <col min="5" max="5" width="50" style="3" hidden="1" customWidth="1"/>
    <col min="6" max="7" width="11.140625" style="3" hidden="1" customWidth="1"/>
    <col min="8" max="8" width="13.7109375" style="14" hidden="1" customWidth="1"/>
    <col min="9" max="10" width="15.42578125" style="14" hidden="1" customWidth="1"/>
    <col min="11" max="11" width="15" style="14" hidden="1" customWidth="1"/>
    <col min="12" max="12" width="15.140625" style="14" hidden="1" customWidth="1"/>
    <col min="13" max="13" width="9.140625" hidden="1" customWidth="1"/>
    <col min="14" max="18" width="12.28515625" hidden="1" customWidth="1"/>
    <col min="19" max="21" width="11.28515625" hidden="1" customWidth="1"/>
    <col min="22" max="23" width="10.7109375" hidden="1" customWidth="1"/>
    <col min="24" max="24" width="14.7109375" style="42" hidden="1" customWidth="1"/>
    <col min="25" max="25" width="0" style="57" hidden="1" customWidth="1"/>
    <col min="26" max="26" width="13.7109375" style="1" customWidth="1"/>
    <col min="27" max="28" width="0" hidden="1" customWidth="1"/>
    <col min="29" max="29" width="0.140625" hidden="1" customWidth="1"/>
  </cols>
  <sheetData>
    <row r="1" spans="1:29" x14ac:dyDescent="0.2">
      <c r="A1" s="94" t="s">
        <v>276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</row>
    <row r="2" spans="1:29" x14ac:dyDescent="0.2">
      <c r="A2" s="94" t="s">
        <v>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</row>
    <row r="3" spans="1:29" x14ac:dyDescent="0.2">
      <c r="A3" s="94" t="s">
        <v>310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</row>
    <row r="4" spans="1:29" x14ac:dyDescent="0.2">
      <c r="A4" s="9"/>
      <c r="B4" s="9"/>
      <c r="C4" s="9"/>
      <c r="D4" s="9"/>
      <c r="E4" s="9"/>
      <c r="F4" s="26"/>
      <c r="G4"/>
      <c r="H4" s="9"/>
      <c r="I4"/>
      <c r="J4"/>
      <c r="K4"/>
      <c r="L4"/>
      <c r="M4" t="s">
        <v>207</v>
      </c>
      <c r="O4" s="12"/>
      <c r="Y4" s="63"/>
    </row>
    <row r="5" spans="1:29" x14ac:dyDescent="0.2">
      <c r="A5" s="9"/>
      <c r="B5" s="9"/>
      <c r="C5" s="9"/>
      <c r="D5" s="9"/>
      <c r="E5" s="12" t="s">
        <v>209</v>
      </c>
      <c r="F5" s="26" t="s">
        <v>254</v>
      </c>
      <c r="G5" s="12" t="s">
        <v>280</v>
      </c>
      <c r="H5" s="12" t="s">
        <v>283</v>
      </c>
      <c r="I5" s="12" t="s">
        <v>144</v>
      </c>
      <c r="J5" s="12" t="s">
        <v>196</v>
      </c>
      <c r="K5" s="12" t="s">
        <v>225</v>
      </c>
      <c r="L5" s="12" t="s">
        <v>246</v>
      </c>
      <c r="M5" t="s">
        <v>207</v>
      </c>
      <c r="O5" s="12" t="s">
        <v>284</v>
      </c>
      <c r="P5" s="12"/>
      <c r="Q5" s="12"/>
      <c r="R5" s="12"/>
      <c r="S5" s="12"/>
      <c r="T5" s="12"/>
      <c r="U5" s="12"/>
      <c r="V5" s="12"/>
      <c r="W5" s="12"/>
      <c r="X5" s="12"/>
      <c r="Y5" s="67"/>
      <c r="Z5" s="89" t="s">
        <v>311</v>
      </c>
    </row>
    <row r="6" spans="1:29" x14ac:dyDescent="0.2">
      <c r="A6" s="9"/>
      <c r="B6" s="9"/>
      <c r="C6" s="9"/>
      <c r="D6" s="9"/>
      <c r="E6" s="12"/>
      <c r="F6" s="26" t="s">
        <v>255</v>
      </c>
      <c r="G6" s="12" t="s">
        <v>277</v>
      </c>
      <c r="H6" s="12" t="s">
        <v>277</v>
      </c>
      <c r="I6" s="12"/>
      <c r="J6" s="12"/>
      <c r="K6" s="12"/>
      <c r="L6" s="12"/>
      <c r="M6" t="s">
        <v>207</v>
      </c>
      <c r="O6" s="12" t="s">
        <v>277</v>
      </c>
      <c r="P6" s="12"/>
      <c r="Q6" s="12"/>
      <c r="R6" s="12"/>
      <c r="S6" s="12"/>
      <c r="T6" s="12"/>
      <c r="U6" s="12"/>
      <c r="V6" s="12"/>
      <c r="W6" s="12"/>
      <c r="X6" s="12"/>
      <c r="Y6" s="67"/>
      <c r="Z6" s="90" t="s">
        <v>277</v>
      </c>
    </row>
    <row r="7" spans="1:29" x14ac:dyDescent="0.2">
      <c r="A7" s="5" t="s">
        <v>60</v>
      </c>
      <c r="E7" s="3" t="s">
        <v>222</v>
      </c>
      <c r="G7" s="14">
        <v>400</v>
      </c>
      <c r="H7" s="14">
        <v>400</v>
      </c>
      <c r="I7" s="14" t="e">
        <f>+#REF!</f>
        <v>#REF!</v>
      </c>
      <c r="J7" s="14" t="e">
        <f>+#REF!</f>
        <v>#REF!</v>
      </c>
      <c r="K7" s="14" t="e">
        <f>+#REF!</f>
        <v>#REF!</v>
      </c>
      <c r="L7" s="14" t="e">
        <f>+#REF!</f>
        <v>#REF!</v>
      </c>
      <c r="M7" t="s">
        <v>207</v>
      </c>
      <c r="O7" s="14">
        <v>810</v>
      </c>
      <c r="P7" s="14">
        <v>788</v>
      </c>
      <c r="Q7" s="14">
        <v>788</v>
      </c>
      <c r="R7" s="14">
        <v>788</v>
      </c>
      <c r="S7" s="14">
        <v>788</v>
      </c>
      <c r="T7" s="14">
        <f>S7</f>
        <v>788</v>
      </c>
      <c r="U7" s="14">
        <v>810</v>
      </c>
      <c r="V7" s="14">
        <f>U7</f>
        <v>810</v>
      </c>
      <c r="W7" s="14">
        <v>832</v>
      </c>
      <c r="Z7" s="1">
        <v>820</v>
      </c>
    </row>
    <row r="8" spans="1:29" x14ac:dyDescent="0.2">
      <c r="G8" s="15"/>
      <c r="H8" s="15"/>
      <c r="I8" s="15"/>
      <c r="J8" s="15"/>
      <c r="K8" s="15"/>
      <c r="L8" s="15"/>
      <c r="M8" t="s">
        <v>207</v>
      </c>
    </row>
    <row r="9" spans="1:29" x14ac:dyDescent="0.2">
      <c r="A9" s="5" t="s">
        <v>1</v>
      </c>
      <c r="G9" s="14"/>
      <c r="M9" t="s">
        <v>207</v>
      </c>
      <c r="X9" s="43" t="s">
        <v>289</v>
      </c>
    </row>
    <row r="10" spans="1:29" x14ac:dyDescent="0.2">
      <c r="B10" s="5" t="s">
        <v>286</v>
      </c>
      <c r="C10" s="5"/>
      <c r="D10" s="5"/>
      <c r="E10" s="3" t="s">
        <v>224</v>
      </c>
      <c r="F10" s="3">
        <v>1003310</v>
      </c>
      <c r="G10" s="14">
        <v>2294747</v>
      </c>
      <c r="H10" s="14">
        <v>2333845</v>
      </c>
      <c r="I10" s="14" t="e">
        <f>+H10/H7*I7*Inf</f>
        <v>#REF!</v>
      </c>
      <c r="J10" s="14" t="e">
        <f>+I10/I7*J7*Inf</f>
        <v>#REF!</v>
      </c>
      <c r="K10" s="14" t="e">
        <f>+J10/J7*K7*Inf</f>
        <v>#REF!</v>
      </c>
      <c r="L10" s="14" t="e">
        <f>+K10/K7*L7*Inf</f>
        <v>#REF!</v>
      </c>
      <c r="M10" s="14" t="e">
        <f>IF(MAX(H10:L10)&gt;0.49,"*","")</f>
        <v>#REF!</v>
      </c>
      <c r="O10" s="14">
        <v>4958916</v>
      </c>
      <c r="P10" s="14">
        <v>4624926</v>
      </c>
      <c r="Q10" s="14">
        <v>4624926</v>
      </c>
      <c r="R10" s="14">
        <v>4624926</v>
      </c>
      <c r="S10" s="14">
        <v>4624926</v>
      </c>
      <c r="T10" s="14">
        <f t="shared" ref="T10:V10" si="0">S10</f>
        <v>4624926</v>
      </c>
      <c r="U10" s="14">
        <v>4747372</v>
      </c>
      <c r="V10" s="14">
        <f t="shared" si="0"/>
        <v>4747372</v>
      </c>
      <c r="W10" s="14">
        <v>4869797</v>
      </c>
      <c r="X10" s="42">
        <f>O10/12</f>
        <v>413243</v>
      </c>
      <c r="Y10" s="57">
        <f>+O10/$O$17</f>
        <v>0.93803456959014064</v>
      </c>
      <c r="Z10" s="1">
        <f>+(O10/O7)*Z7</f>
        <v>5020137.1851851856</v>
      </c>
      <c r="AA10" s="57">
        <f>+Z10/Z$17</f>
        <v>0.89694684039157957</v>
      </c>
    </row>
    <row r="11" spans="1:29" x14ac:dyDescent="0.2">
      <c r="A11" s="36"/>
      <c r="B11" t="s">
        <v>308</v>
      </c>
      <c r="F11" s="3">
        <v>1003334</v>
      </c>
      <c r="G11" s="14">
        <v>63401</v>
      </c>
      <c r="H11" s="14">
        <v>0</v>
      </c>
      <c r="M11" s="14"/>
      <c r="O11" s="14">
        <v>26000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42">
        <f t="shared" ref="X11:X16" si="1">O11/12</f>
        <v>2166.6666666666665</v>
      </c>
      <c r="Y11" s="57">
        <f>+O11/$O$17</f>
        <v>4.9181915582646807E-3</v>
      </c>
      <c r="Z11" s="1">
        <f>+O11</f>
        <v>26000</v>
      </c>
      <c r="AA11" s="1">
        <f t="shared" ref="AA11:AC11" si="2">+P11</f>
        <v>0</v>
      </c>
      <c r="AB11" s="1">
        <f t="shared" si="2"/>
        <v>0</v>
      </c>
      <c r="AC11" s="1">
        <f t="shared" si="2"/>
        <v>0</v>
      </c>
    </row>
    <row r="12" spans="1:29" hidden="1" x14ac:dyDescent="0.2">
      <c r="B12" t="s">
        <v>251</v>
      </c>
      <c r="E12" s="3" t="s">
        <v>208</v>
      </c>
      <c r="F12" s="3">
        <v>4903290</v>
      </c>
      <c r="G12" s="14">
        <v>0</v>
      </c>
      <c r="H12" s="14">
        <v>0</v>
      </c>
      <c r="I12" s="14">
        <v>75000</v>
      </c>
      <c r="J12" s="14">
        <v>10000</v>
      </c>
      <c r="K12" s="14">
        <v>10000</v>
      </c>
      <c r="L12" s="14">
        <v>10000</v>
      </c>
      <c r="M12" s="14" t="str">
        <f t="shared" ref="M12:M92" si="3">IF(MAX(H12:L12)&gt;0.49,"*","")</f>
        <v>*</v>
      </c>
      <c r="N12" s="30">
        <v>275000</v>
      </c>
      <c r="O12" s="14">
        <v>0</v>
      </c>
      <c r="P12" s="14">
        <v>0</v>
      </c>
      <c r="Q12" s="14">
        <v>0</v>
      </c>
      <c r="X12">
        <f t="shared" si="1"/>
        <v>0</v>
      </c>
      <c r="Y12" s="14"/>
      <c r="Z12"/>
      <c r="AA12" s="57">
        <f>+Q12/$O$17</f>
        <v>0</v>
      </c>
    </row>
    <row r="13" spans="1:29" x14ac:dyDescent="0.2">
      <c r="B13" t="s">
        <v>88</v>
      </c>
      <c r="E13" s="3" t="s">
        <v>243</v>
      </c>
      <c r="F13" s="3">
        <v>1003450</v>
      </c>
      <c r="G13" s="14">
        <v>0</v>
      </c>
      <c r="H13" s="14">
        <v>180000</v>
      </c>
      <c r="I13" s="14">
        <v>0</v>
      </c>
      <c r="J13" s="14">
        <v>0</v>
      </c>
      <c r="K13" s="14" t="e">
        <f>+K7*500</f>
        <v>#REF!</v>
      </c>
      <c r="L13" s="14" t="e">
        <f>+L7*500</f>
        <v>#REF!</v>
      </c>
      <c r="M13" s="14" t="e">
        <f t="shared" si="3"/>
        <v>#REF!</v>
      </c>
      <c r="O13" s="14">
        <v>168000</v>
      </c>
      <c r="P13" s="14">
        <f>O13</f>
        <v>168000</v>
      </c>
      <c r="Q13" s="14">
        <f>P13/P7*Q7</f>
        <v>168000</v>
      </c>
      <c r="R13" s="14">
        <f t="shared" ref="R13:V13" si="4">Q13</f>
        <v>168000</v>
      </c>
      <c r="S13" s="14">
        <f>R13/R7*S7</f>
        <v>168000</v>
      </c>
      <c r="T13" s="14">
        <f t="shared" si="4"/>
        <v>168000</v>
      </c>
      <c r="U13" s="14">
        <f>T13/T7*U7</f>
        <v>172690.35532994923</v>
      </c>
      <c r="V13" s="14">
        <f t="shared" si="4"/>
        <v>172690.35532994923</v>
      </c>
      <c r="W13" s="14">
        <f>V13/V7*W7</f>
        <v>177380.71065989847</v>
      </c>
      <c r="X13" s="42">
        <f t="shared" si="1"/>
        <v>14000</v>
      </c>
      <c r="Y13" s="57">
        <f>+O13/$O$17</f>
        <v>3.1779083914941011E-2</v>
      </c>
      <c r="Z13" s="1">
        <f>820*460</f>
        <v>377200</v>
      </c>
      <c r="AA13" s="57">
        <f>+Z13/Z$17</f>
        <v>6.7394243566517867E-2</v>
      </c>
    </row>
    <row r="14" spans="1:29" ht="15" hidden="1" x14ac:dyDescent="0.35">
      <c r="B14" t="s">
        <v>245</v>
      </c>
      <c r="E14" s="3" t="s">
        <v>234</v>
      </c>
      <c r="F14" s="3">
        <v>1003261</v>
      </c>
      <c r="G14" s="14">
        <v>0</v>
      </c>
      <c r="H14" s="14">
        <v>0</v>
      </c>
      <c r="I14" s="14" t="e">
        <f>#REF!</f>
        <v>#REF!</v>
      </c>
      <c r="J14" s="14" t="e">
        <f>#REF!</f>
        <v>#REF!</v>
      </c>
      <c r="K14" s="14" t="e">
        <f>#REF!</f>
        <v>#REF!</v>
      </c>
      <c r="L14" s="14" t="e">
        <f>#REF!</f>
        <v>#REF!</v>
      </c>
      <c r="M14" s="14" t="e">
        <f t="shared" si="3"/>
        <v>#REF!</v>
      </c>
      <c r="O14" s="14">
        <v>0</v>
      </c>
      <c r="P14" s="14">
        <v>0</v>
      </c>
      <c r="Q14" s="14">
        <v>0</v>
      </c>
      <c r="X14">
        <f t="shared" si="1"/>
        <v>0</v>
      </c>
      <c r="Y14" s="4"/>
      <c r="Z14"/>
      <c r="AA14" s="58">
        <f t="shared" ref="Y14:AA17" si="5">+Q14/$O$17</f>
        <v>0</v>
      </c>
    </row>
    <row r="15" spans="1:29" x14ac:dyDescent="0.2">
      <c r="B15" s="36" t="s">
        <v>330</v>
      </c>
      <c r="F15" s="3">
        <v>1003440</v>
      </c>
      <c r="G15" s="14">
        <v>50000</v>
      </c>
      <c r="H15" s="14">
        <v>60000</v>
      </c>
      <c r="M15" s="14"/>
      <c r="O15" s="14">
        <v>50000</v>
      </c>
      <c r="P15" s="14">
        <v>75000</v>
      </c>
      <c r="Q15" s="14">
        <v>75000</v>
      </c>
      <c r="R15" s="14">
        <v>100000</v>
      </c>
      <c r="S15" s="14">
        <v>100000</v>
      </c>
      <c r="T15" s="14">
        <v>75000</v>
      </c>
      <c r="U15" s="14">
        <v>75000</v>
      </c>
      <c r="V15" s="14">
        <v>75000</v>
      </c>
      <c r="W15" s="14">
        <v>75000</v>
      </c>
      <c r="X15" s="42">
        <f t="shared" si="1"/>
        <v>4166.666666666667</v>
      </c>
      <c r="Y15" s="57">
        <f t="shared" si="5"/>
        <v>9.4580606889705394E-3</v>
      </c>
      <c r="Z15" s="1">
        <v>90000</v>
      </c>
      <c r="AA15" s="57">
        <f t="shared" ref="AA15:AA16" si="6">+Z15/Z$17</f>
        <v>1.6080280808554104E-2</v>
      </c>
    </row>
    <row r="16" spans="1:29" ht="15" x14ac:dyDescent="0.35">
      <c r="B16" s="29" t="s">
        <v>265</v>
      </c>
      <c r="E16" s="3" t="s">
        <v>221</v>
      </c>
      <c r="F16" s="27">
        <v>1003354</v>
      </c>
      <c r="G16" s="4">
        <v>54054</v>
      </c>
      <c r="H16" s="4">
        <v>67000</v>
      </c>
      <c r="I16" s="4">
        <v>0</v>
      </c>
      <c r="J16" s="4">
        <v>0</v>
      </c>
      <c r="K16" s="4">
        <v>0</v>
      </c>
      <c r="L16" s="4">
        <v>0</v>
      </c>
      <c r="M16" s="14" t="str">
        <f t="shared" si="3"/>
        <v>*</v>
      </c>
      <c r="N16" s="4">
        <v>0</v>
      </c>
      <c r="O16" s="4">
        <v>83580</v>
      </c>
      <c r="P16" s="4">
        <f>O16</f>
        <v>83580</v>
      </c>
      <c r="Q16" s="4">
        <v>127667</v>
      </c>
      <c r="R16" s="4">
        <f t="shared" ref="R16:W16" si="7">Q16</f>
        <v>127667</v>
      </c>
      <c r="S16" s="4">
        <v>131334</v>
      </c>
      <c r="T16" s="4">
        <f t="shared" si="7"/>
        <v>131334</v>
      </c>
      <c r="U16" s="4">
        <f t="shared" si="7"/>
        <v>131334</v>
      </c>
      <c r="V16" s="4">
        <f t="shared" si="7"/>
        <v>131334</v>
      </c>
      <c r="W16" s="4">
        <f t="shared" si="7"/>
        <v>131334</v>
      </c>
      <c r="X16" s="42">
        <f t="shared" si="1"/>
        <v>6965</v>
      </c>
      <c r="Y16" s="58">
        <f t="shared" si="5"/>
        <v>1.5810094247683152E-2</v>
      </c>
      <c r="Z16" s="4">
        <f>+O16</f>
        <v>83580</v>
      </c>
      <c r="AA16" s="58">
        <f t="shared" si="6"/>
        <v>1.4933220777543912E-2</v>
      </c>
    </row>
    <row r="17" spans="1:29" s="5" customFormat="1" ht="15" x14ac:dyDescent="0.35">
      <c r="A17" s="5" t="s">
        <v>49</v>
      </c>
      <c r="E17" s="9"/>
      <c r="F17" s="3"/>
      <c r="G17" s="8">
        <f>SUM(G10:G16)</f>
        <v>2462202</v>
      </c>
      <c r="H17" s="8">
        <f>SUM(H10:H16)</f>
        <v>2640845</v>
      </c>
      <c r="I17" s="6" t="e">
        <f t="shared" ref="I17:X17" si="8">SUM(I10:I16)</f>
        <v>#REF!</v>
      </c>
      <c r="J17" s="6" t="e">
        <f t="shared" si="8"/>
        <v>#REF!</v>
      </c>
      <c r="K17" s="6" t="e">
        <f t="shared" si="8"/>
        <v>#REF!</v>
      </c>
      <c r="L17" s="6" t="e">
        <f t="shared" si="8"/>
        <v>#REF!</v>
      </c>
      <c r="M17" s="6" t="e">
        <f t="shared" si="8"/>
        <v>#REF!</v>
      </c>
      <c r="N17" s="6">
        <f t="shared" si="8"/>
        <v>275000</v>
      </c>
      <c r="O17" s="8">
        <f t="shared" si="8"/>
        <v>5286496</v>
      </c>
      <c r="P17" s="8">
        <f t="shared" si="8"/>
        <v>4951506</v>
      </c>
      <c r="Q17" s="8">
        <f t="shared" si="8"/>
        <v>4995593</v>
      </c>
      <c r="R17" s="8">
        <f t="shared" si="8"/>
        <v>5020593</v>
      </c>
      <c r="S17" s="8">
        <f t="shared" si="8"/>
        <v>5024260</v>
      </c>
      <c r="T17" s="8">
        <f t="shared" si="8"/>
        <v>4999260</v>
      </c>
      <c r="U17" s="8">
        <f t="shared" si="8"/>
        <v>5126396.3553299494</v>
      </c>
      <c r="V17" s="8">
        <f t="shared" si="8"/>
        <v>5126396.3553299494</v>
      </c>
      <c r="W17" s="8">
        <f t="shared" si="8"/>
        <v>5253511.7106598988</v>
      </c>
      <c r="X17" s="8">
        <f t="shared" si="8"/>
        <v>440541.33333333337</v>
      </c>
      <c r="Y17" s="56">
        <f t="shared" si="5"/>
        <v>1</v>
      </c>
      <c r="Z17" s="8">
        <f>SUBTOTAL(9,Z10:Z16)</f>
        <v>5596917.1851851856</v>
      </c>
      <c r="AA17" s="8">
        <f t="shared" ref="AA17:AC17" si="9">SUBTOTAL(9,AA10:AA16)</f>
        <v>0.99535458554419542</v>
      </c>
      <c r="AB17" s="8">
        <f t="shared" si="9"/>
        <v>0</v>
      </c>
      <c r="AC17" s="8">
        <f t="shared" si="9"/>
        <v>0</v>
      </c>
    </row>
    <row r="18" spans="1:29" hidden="1" x14ac:dyDescent="0.2">
      <c r="F18" s="14"/>
      <c r="G18" s="14"/>
      <c r="M18" s="21" t="s">
        <v>207</v>
      </c>
      <c r="X18"/>
      <c r="Y18"/>
      <c r="Z18"/>
      <c r="AA18" s="57"/>
    </row>
    <row r="19" spans="1:29" hidden="1" x14ac:dyDescent="0.2">
      <c r="A19" s="5" t="s">
        <v>4</v>
      </c>
      <c r="E19" s="14"/>
      <c r="F19" s="14"/>
      <c r="G19" s="14"/>
      <c r="M19" s="21"/>
      <c r="X19"/>
      <c r="Y19" s="14"/>
      <c r="Z19"/>
      <c r="AA19" s="57">
        <f t="shared" ref="AA19:AA35" si="10">+Q19/$O$17</f>
        <v>0</v>
      </c>
    </row>
    <row r="20" spans="1:29" hidden="1" x14ac:dyDescent="0.2">
      <c r="A20" s="5"/>
      <c r="B20" t="s">
        <v>256</v>
      </c>
      <c r="E20" s="3">
        <v>4900</v>
      </c>
      <c r="F20" s="3">
        <v>4900</v>
      </c>
      <c r="G20" s="14"/>
      <c r="M20" s="21"/>
      <c r="X20"/>
      <c r="Y20" s="17"/>
      <c r="Z20"/>
      <c r="AA20" s="57">
        <f t="shared" si="10"/>
        <v>0</v>
      </c>
    </row>
    <row r="21" spans="1:29" ht="15" hidden="1" x14ac:dyDescent="0.35">
      <c r="A21" s="5"/>
      <c r="C21" t="s">
        <v>264</v>
      </c>
      <c r="F21" s="3">
        <v>4900360</v>
      </c>
      <c r="G21" s="14">
        <v>807230</v>
      </c>
      <c r="M21" s="21"/>
      <c r="N21" s="1">
        <v>39750</v>
      </c>
      <c r="X21"/>
      <c r="Y21" s="34"/>
      <c r="Z21"/>
      <c r="AA21" s="58">
        <f t="shared" si="10"/>
        <v>0</v>
      </c>
    </row>
    <row r="22" spans="1:29" hidden="1" x14ac:dyDescent="0.2">
      <c r="A22" s="5"/>
      <c r="C22" t="s">
        <v>257</v>
      </c>
      <c r="E22" s="3">
        <v>4900310</v>
      </c>
      <c r="F22" s="3">
        <v>4900310</v>
      </c>
      <c r="G22" s="30">
        <v>172550</v>
      </c>
      <c r="M22" s="21"/>
      <c r="N22" s="30">
        <f>7500+3000+7500</f>
        <v>18000</v>
      </c>
      <c r="X22"/>
      <c r="Y22" s="8"/>
      <c r="Z22"/>
      <c r="AA22" s="56">
        <f t="shared" si="10"/>
        <v>0</v>
      </c>
    </row>
    <row r="23" spans="1:29" ht="15" hidden="1" x14ac:dyDescent="0.35">
      <c r="A23" s="5"/>
      <c r="C23" t="s">
        <v>258</v>
      </c>
      <c r="E23" s="3">
        <v>4900330</v>
      </c>
      <c r="F23" s="3">
        <v>4900330</v>
      </c>
      <c r="G23" s="4">
        <v>19000</v>
      </c>
      <c r="M23" s="21"/>
      <c r="N23" s="1">
        <v>2000</v>
      </c>
      <c r="X23"/>
      <c r="Y23" s="1"/>
      <c r="Z23"/>
      <c r="AA23" s="57">
        <f t="shared" si="10"/>
        <v>0</v>
      </c>
    </row>
    <row r="24" spans="1:29" ht="15" hidden="1" x14ac:dyDescent="0.35">
      <c r="A24" s="5"/>
      <c r="C24" t="s">
        <v>259</v>
      </c>
      <c r="E24" s="3">
        <v>4900520</v>
      </c>
      <c r="F24" s="3">
        <v>4900520</v>
      </c>
      <c r="G24" s="6">
        <v>998780</v>
      </c>
      <c r="M24" s="21"/>
      <c r="N24" s="1">
        <v>78837</v>
      </c>
      <c r="X24"/>
      <c r="Y24" s="14"/>
      <c r="Z24"/>
      <c r="AA24" s="57">
        <f t="shared" si="10"/>
        <v>0</v>
      </c>
    </row>
    <row r="25" spans="1:29" hidden="1" x14ac:dyDescent="0.2">
      <c r="A25" s="5"/>
      <c r="C25" s="29" t="s">
        <v>260</v>
      </c>
      <c r="E25" s="3">
        <v>4900510</v>
      </c>
      <c r="F25" s="3">
        <v>4900510</v>
      </c>
      <c r="G25" s="14"/>
      <c r="M25" s="21"/>
      <c r="N25" s="1"/>
      <c r="X25"/>
      <c r="Y25" s="14"/>
      <c r="Z25"/>
      <c r="AA25" s="57">
        <f t="shared" si="10"/>
        <v>0</v>
      </c>
    </row>
    <row r="26" spans="1:29" hidden="1" x14ac:dyDescent="0.2">
      <c r="A26" s="5"/>
      <c r="C26" s="29" t="s">
        <v>247</v>
      </c>
      <c r="F26" s="3">
        <v>4900590</v>
      </c>
      <c r="G26" s="14">
        <v>76406.67</v>
      </c>
      <c r="M26" s="21"/>
      <c r="N26" s="1">
        <f>8687+7813</f>
        <v>16500</v>
      </c>
      <c r="X26"/>
      <c r="Y26" s="30"/>
      <c r="Z26"/>
      <c r="AA26" s="57">
        <f t="shared" si="10"/>
        <v>0</v>
      </c>
    </row>
    <row r="27" spans="1:29" ht="15" hidden="1" x14ac:dyDescent="0.35">
      <c r="A27" s="5"/>
      <c r="C27" t="s">
        <v>261</v>
      </c>
      <c r="E27" s="3">
        <v>4900641</v>
      </c>
      <c r="F27" s="3">
        <v>4900641</v>
      </c>
      <c r="G27" s="14">
        <v>65000</v>
      </c>
      <c r="M27" s="21"/>
      <c r="N27" s="1">
        <v>63768</v>
      </c>
      <c r="X27"/>
      <c r="Y27" s="4"/>
      <c r="Z27"/>
      <c r="AA27" s="58">
        <f t="shared" si="10"/>
        <v>0</v>
      </c>
    </row>
    <row r="28" spans="1:29" hidden="1" x14ac:dyDescent="0.2">
      <c r="A28" s="5"/>
      <c r="C28" t="s">
        <v>262</v>
      </c>
      <c r="E28" s="3">
        <v>4900643</v>
      </c>
      <c r="F28" s="3">
        <v>4900643</v>
      </c>
      <c r="G28" s="30">
        <v>6500</v>
      </c>
      <c r="M28" s="21"/>
      <c r="N28" s="1">
        <v>56145</v>
      </c>
      <c r="X28"/>
      <c r="Y28" s="8"/>
      <c r="Z28"/>
      <c r="AA28" s="56">
        <f t="shared" si="10"/>
        <v>0</v>
      </c>
    </row>
    <row r="29" spans="1:29" ht="15" hidden="1" x14ac:dyDescent="0.35">
      <c r="A29" s="5"/>
      <c r="C29" t="s">
        <v>16</v>
      </c>
      <c r="E29" s="3">
        <v>4900691</v>
      </c>
      <c r="F29" s="3">
        <v>4900691</v>
      </c>
      <c r="G29" s="4">
        <v>7000</v>
      </c>
      <c r="M29" s="21"/>
      <c r="N29" s="4">
        <v>0</v>
      </c>
      <c r="X29"/>
      <c r="Y29" s="53"/>
      <c r="Z29"/>
      <c r="AA29" s="57">
        <f t="shared" si="10"/>
        <v>0</v>
      </c>
    </row>
    <row r="30" spans="1:29" ht="15" hidden="1" x14ac:dyDescent="0.35">
      <c r="A30" s="5"/>
      <c r="D30" s="5" t="s">
        <v>263</v>
      </c>
      <c r="E30" s="8"/>
      <c r="F30" s="14"/>
      <c r="G30" s="6">
        <v>154906.66999999998</v>
      </c>
      <c r="M30" s="21"/>
      <c r="N30" s="1">
        <f>SUBTOTAL(9,N21:N29)</f>
        <v>0</v>
      </c>
      <c r="X30"/>
      <c r="Y30" s="14"/>
      <c r="Z30"/>
      <c r="AA30" s="57">
        <f t="shared" si="10"/>
        <v>0</v>
      </c>
    </row>
    <row r="31" spans="1:29" x14ac:dyDescent="0.2">
      <c r="F31" s="14"/>
      <c r="G31" s="21"/>
      <c r="M31" s="21"/>
      <c r="AA31" s="57"/>
    </row>
    <row r="32" spans="1:29" x14ac:dyDescent="0.2">
      <c r="A32" s="5" t="s">
        <v>4</v>
      </c>
      <c r="G32" s="14"/>
      <c r="M32" s="21" t="s">
        <v>207</v>
      </c>
      <c r="AA32" s="57"/>
    </row>
    <row r="33" spans="1:29" x14ac:dyDescent="0.2">
      <c r="B33" s="5" t="s">
        <v>5</v>
      </c>
      <c r="F33" s="3">
        <v>4900</v>
      </c>
      <c r="G33" s="14"/>
      <c r="M33" s="21" t="e">
        <f>IF(M57="*","*","")</f>
        <v>#REF!</v>
      </c>
      <c r="AA33" s="57"/>
    </row>
    <row r="34" spans="1:29" x14ac:dyDescent="0.2">
      <c r="B34" s="5"/>
      <c r="C34" s="36" t="s">
        <v>282</v>
      </c>
      <c r="D34" s="5"/>
      <c r="E34" s="3" t="s">
        <v>235</v>
      </c>
      <c r="F34" s="3">
        <v>5100120</v>
      </c>
      <c r="G34" s="14">
        <v>758010</v>
      </c>
      <c r="H34" s="14">
        <v>770089</v>
      </c>
      <c r="I34" s="14" t="e">
        <f>#REF!*#REF!</f>
        <v>#REF!</v>
      </c>
      <c r="J34" s="14" t="e">
        <f>#REF!*#REF!*Inf</f>
        <v>#REF!</v>
      </c>
      <c r="K34" s="14" t="e">
        <f>#REF!*#REF!*Inf</f>
        <v>#REF!</v>
      </c>
      <c r="L34" s="14" t="e">
        <f>#REF!*#REF!*Inf</f>
        <v>#REF!</v>
      </c>
      <c r="M34" s="14" t="e">
        <f t="shared" si="3"/>
        <v>#REF!</v>
      </c>
      <c r="O34" s="14">
        <v>1414180</v>
      </c>
      <c r="P34" s="14">
        <f>O34*1.01</f>
        <v>1428321.8</v>
      </c>
      <c r="Q34" s="14">
        <f>P34*1.01</f>
        <v>1442605.0180000002</v>
      </c>
      <c r="R34" s="14">
        <f>Q34*1.01</f>
        <v>1457031.0681800002</v>
      </c>
      <c r="S34" s="14">
        <f>R34*1.01</f>
        <v>1471601.3788618003</v>
      </c>
      <c r="T34" s="14">
        <f>S34*1.01</f>
        <v>1486317.3926504182</v>
      </c>
      <c r="U34" s="14">
        <f>T34*1.01+44000</f>
        <v>1545180.5665769223</v>
      </c>
      <c r="V34" s="14">
        <f>U34*1.01</f>
        <v>1560632.3722426915</v>
      </c>
      <c r="W34" s="14">
        <f>V34*1.01+47000</f>
        <v>1623238.6959651185</v>
      </c>
      <c r="X34" s="42">
        <f t="shared" ref="X34:X37" si="11">O34/12</f>
        <v>117848.33333333333</v>
      </c>
      <c r="Y34" s="57">
        <f t="shared" ref="Y34" si="12">+O34/$O$17</f>
        <v>0.26750800530256713</v>
      </c>
      <c r="Z34" s="1">
        <f>Salaries!E9</f>
        <v>1528938</v>
      </c>
      <c r="AA34" s="57">
        <f>+Z34/Z$17</f>
        <v>0.27317502643187885</v>
      </c>
      <c r="AB34" s="36" t="s">
        <v>364</v>
      </c>
      <c r="AC34" s="36"/>
    </row>
    <row r="35" spans="1:29" ht="15" hidden="1" x14ac:dyDescent="0.35">
      <c r="C35" t="s">
        <v>96</v>
      </c>
      <c r="E35" s="3" t="s">
        <v>235</v>
      </c>
      <c r="F35" s="3">
        <v>4900510</v>
      </c>
      <c r="G35" s="14">
        <v>0</v>
      </c>
      <c r="H35" s="4" t="e">
        <f>+#REF!</f>
        <v>#REF!</v>
      </c>
      <c r="I35" s="4" t="e">
        <f>+H35*Inf+(I7-H7)/25*8928*Inf*0</f>
        <v>#REF!</v>
      </c>
      <c r="J35" s="4" t="e">
        <f>+I35*Inf+(J7-I7)/25*8928*Inf^2*0</f>
        <v>#REF!</v>
      </c>
      <c r="K35" s="4" t="e">
        <f>+J35*Inf+(K7-J7)/25*8928*Inf^3*0</f>
        <v>#REF!</v>
      </c>
      <c r="L35" s="4" t="e">
        <f>+K35*Inf+(L7-K7)/25*8928*Inf^4*0</f>
        <v>#REF!</v>
      </c>
      <c r="M35" s="14" t="e">
        <f t="shared" si="3"/>
        <v>#REF!</v>
      </c>
      <c r="X35">
        <f t="shared" si="11"/>
        <v>0</v>
      </c>
      <c r="Y35" s="14"/>
      <c r="Z35"/>
      <c r="AA35" s="57">
        <f t="shared" si="10"/>
        <v>0</v>
      </c>
    </row>
    <row r="36" spans="1:29" x14ac:dyDescent="0.2">
      <c r="C36" s="92" t="s">
        <v>372</v>
      </c>
      <c r="E36" s="3">
        <v>5100130</v>
      </c>
      <c r="F36" s="3">
        <v>5100130</v>
      </c>
      <c r="G36" s="14">
        <v>221606</v>
      </c>
      <c r="H36" s="30">
        <v>225132</v>
      </c>
      <c r="I36" s="30" t="e">
        <f>#REF!+#REF!+#REF!+#REF!+#REF!</f>
        <v>#REF!</v>
      </c>
      <c r="J36" s="30" t="e">
        <f>#REF!+#REF!+#REF!+#REF!+#REF!</f>
        <v>#REF!</v>
      </c>
      <c r="K36" s="30" t="e">
        <f>#REF!+#REF!+#REF!+#REF!+#REF!</f>
        <v>#REF!</v>
      </c>
      <c r="L36" s="30" t="e">
        <f>#REF!+#REF!+#REF!+#REF!+#REF!</f>
        <v>#REF!</v>
      </c>
      <c r="M36" s="30" t="e">
        <f>#REF!+#REF!+#REF!+#REF!+#REF!</f>
        <v>#REF!</v>
      </c>
      <c r="N36" s="30" t="e">
        <f>#REF!+#REF!+#REF!+#REF!+#REF!</f>
        <v>#REF!</v>
      </c>
      <c r="O36" s="17">
        <v>583129</v>
      </c>
      <c r="P36" s="1">
        <f t="shared" ref="P36:W37" si="13">O36*1.01</f>
        <v>588960.29</v>
      </c>
      <c r="Q36" s="1">
        <f t="shared" si="13"/>
        <v>594849.89290000009</v>
      </c>
      <c r="R36" s="1">
        <f t="shared" si="13"/>
        <v>600798.39182900009</v>
      </c>
      <c r="S36" s="1">
        <f t="shared" si="13"/>
        <v>606806.37574729009</v>
      </c>
      <c r="T36" s="1">
        <f t="shared" si="13"/>
        <v>612874.439504763</v>
      </c>
      <c r="U36" s="1">
        <f t="shared" si="13"/>
        <v>619003.18389981065</v>
      </c>
      <c r="V36" s="1">
        <f t="shared" si="13"/>
        <v>625193.21573880874</v>
      </c>
      <c r="W36" s="1">
        <f t="shared" si="13"/>
        <v>631445.14789619681</v>
      </c>
      <c r="X36" s="42">
        <f t="shared" si="11"/>
        <v>48594.083333333336</v>
      </c>
      <c r="Y36" s="57">
        <f t="shared" ref="Y36:Y57" si="14">+O36/$O$17</f>
        <v>0.11030538942997403</v>
      </c>
      <c r="Z36" s="1">
        <f>Salaries!E12+Salaries!E13+Salaries!E14+Salaries!E15+Salaries!E16+Salaries!E17+Salaries!E18</f>
        <v>572255</v>
      </c>
      <c r="AA36" s="57">
        <f t="shared" ref="AA36:AA57" si="15">+Z36/Z$17</f>
        <v>0.10224467882332365</v>
      </c>
      <c r="AB36" s="36" t="s">
        <v>363</v>
      </c>
    </row>
    <row r="37" spans="1:29" ht="15" x14ac:dyDescent="0.35">
      <c r="C37" s="36" t="s">
        <v>281</v>
      </c>
      <c r="E37" s="3">
        <v>5100150</v>
      </c>
      <c r="F37" s="3">
        <v>5100150</v>
      </c>
      <c r="G37" s="4">
        <v>22000</v>
      </c>
      <c r="H37" s="4" t="e">
        <f>#REF!</f>
        <v>#REF!</v>
      </c>
      <c r="I37" s="4" t="e">
        <f>#REF!</f>
        <v>#REF!</v>
      </c>
      <c r="J37" s="4" t="e">
        <f>#REF!</f>
        <v>#REF!</v>
      </c>
      <c r="K37" s="4" t="e">
        <f>#REF!</f>
        <v>#REF!</v>
      </c>
      <c r="L37" s="4" t="e">
        <f>#REF!</f>
        <v>#REF!</v>
      </c>
      <c r="M37" s="4" t="e">
        <f>#REF!</f>
        <v>#REF!</v>
      </c>
      <c r="N37" s="4" t="e">
        <f>#REF!</f>
        <v>#REF!</v>
      </c>
      <c r="O37" s="34">
        <v>70000</v>
      </c>
      <c r="P37" s="4">
        <f t="shared" si="13"/>
        <v>70700</v>
      </c>
      <c r="Q37" s="4">
        <f t="shared" si="13"/>
        <v>71407</v>
      </c>
      <c r="R37" s="4">
        <f t="shared" si="13"/>
        <v>72121.070000000007</v>
      </c>
      <c r="S37" s="4">
        <f t="shared" si="13"/>
        <v>72842.280700000003</v>
      </c>
      <c r="T37" s="4">
        <f t="shared" si="13"/>
        <v>73570.703506999998</v>
      </c>
      <c r="U37" s="4">
        <f t="shared" si="13"/>
        <v>74306.410542069993</v>
      </c>
      <c r="V37" s="4">
        <f t="shared" si="13"/>
        <v>75049.474647490686</v>
      </c>
      <c r="W37" s="4">
        <f t="shared" si="13"/>
        <v>75799.969393965599</v>
      </c>
      <c r="X37" s="42">
        <f t="shared" si="11"/>
        <v>5833.333333333333</v>
      </c>
      <c r="Y37" s="58">
        <f t="shared" si="14"/>
        <v>1.3241284964558755E-2</v>
      </c>
      <c r="Z37" s="4">
        <f>Salaries!E19</f>
        <v>56000</v>
      </c>
      <c r="AA37" s="58">
        <f t="shared" si="15"/>
        <v>1.0005508058655887E-2</v>
      </c>
      <c r="AB37" s="36" t="s">
        <v>328</v>
      </c>
    </row>
    <row r="38" spans="1:29" ht="15" x14ac:dyDescent="0.35">
      <c r="D38" s="5" t="s">
        <v>41</v>
      </c>
      <c r="E38" s="9"/>
      <c r="G38" s="8">
        <f t="shared" ref="G38:N38" si="16">SUBTOTAL(9,G34:G37)</f>
        <v>1001616</v>
      </c>
      <c r="H38" s="8" t="e">
        <f>SUBTOTAL(9,H34:H37)</f>
        <v>#REF!</v>
      </c>
      <c r="I38" s="6" t="e">
        <f t="shared" si="16"/>
        <v>#REF!</v>
      </c>
      <c r="J38" s="6" t="e">
        <f t="shared" si="16"/>
        <v>#REF!</v>
      </c>
      <c r="K38" s="6" t="e">
        <f t="shared" si="16"/>
        <v>#REF!</v>
      </c>
      <c r="L38" s="6" t="e">
        <f t="shared" si="16"/>
        <v>#REF!</v>
      </c>
      <c r="M38" s="6" t="e">
        <f t="shared" si="16"/>
        <v>#REF!</v>
      </c>
      <c r="N38" s="6" t="e">
        <f t="shared" si="16"/>
        <v>#REF!</v>
      </c>
      <c r="O38" s="8">
        <f t="shared" ref="O38:X38" si="17">SUBTOTAL(9,O34:O37)</f>
        <v>2067309</v>
      </c>
      <c r="P38" s="8">
        <f t="shared" si="17"/>
        <v>2087982.09</v>
      </c>
      <c r="Q38" s="8">
        <f t="shared" si="17"/>
        <v>2108861.9109000005</v>
      </c>
      <c r="R38" s="8">
        <f t="shared" si="17"/>
        <v>2129950.5300090001</v>
      </c>
      <c r="S38" s="8">
        <f t="shared" si="17"/>
        <v>2151250.0353090903</v>
      </c>
      <c r="T38" s="8">
        <f t="shared" si="17"/>
        <v>2172762.5356621812</v>
      </c>
      <c r="U38" s="8">
        <f t="shared" si="17"/>
        <v>2238490.1610188028</v>
      </c>
      <c r="V38" s="8">
        <f t="shared" si="17"/>
        <v>2260875.062628991</v>
      </c>
      <c r="W38" s="8">
        <f t="shared" si="17"/>
        <v>2330483.8132552812</v>
      </c>
      <c r="X38" s="8">
        <f t="shared" si="17"/>
        <v>172275.75</v>
      </c>
      <c r="Y38" s="56">
        <f t="shared" si="14"/>
        <v>0.39105467969709995</v>
      </c>
      <c r="Z38" s="8">
        <f>SUBTOTAL(9,Z34:Z37)</f>
        <v>2157193</v>
      </c>
      <c r="AA38" s="8">
        <f t="shared" ref="AA38:AC38" si="18">SUBTOTAL(9,AA34:AA37)</f>
        <v>0.38542521331385843</v>
      </c>
      <c r="AB38" s="8">
        <f t="shared" si="18"/>
        <v>0</v>
      </c>
      <c r="AC38" s="8">
        <f t="shared" si="18"/>
        <v>0</v>
      </c>
    </row>
    <row r="39" spans="1:29" x14ac:dyDescent="0.2">
      <c r="C39" t="s">
        <v>7</v>
      </c>
      <c r="E39" s="22">
        <v>1.4999999999999999E-2</v>
      </c>
      <c r="F39" s="3">
        <v>5200210</v>
      </c>
      <c r="G39" s="14"/>
      <c r="H39" s="14">
        <v>12986</v>
      </c>
      <c r="I39" s="14" t="e">
        <f>+I38*0.015</f>
        <v>#REF!</v>
      </c>
      <c r="J39" s="14" t="e">
        <f>+J38*0.015</f>
        <v>#REF!</v>
      </c>
      <c r="K39" s="14" t="e">
        <f>+K38*0.015</f>
        <v>#REF!</v>
      </c>
      <c r="L39" s="14" t="e">
        <f>+L38*0.015</f>
        <v>#REF!</v>
      </c>
      <c r="M39" s="14" t="e">
        <f t="shared" si="3"/>
        <v>#REF!</v>
      </c>
      <c r="O39" s="1">
        <v>10000</v>
      </c>
      <c r="P39" s="1">
        <f t="shared" ref="P39:Q39" si="19">P38*0.015</f>
        <v>31319.731350000002</v>
      </c>
      <c r="Q39" s="1">
        <f t="shared" si="19"/>
        <v>31632.928663500006</v>
      </c>
      <c r="R39" s="1">
        <f t="shared" ref="R39" si="20">R38*0.015</f>
        <v>31949.257950135001</v>
      </c>
      <c r="S39" s="1">
        <f t="shared" ref="S39" si="21">S38*0.015</f>
        <v>32268.750529636352</v>
      </c>
      <c r="T39" s="1">
        <f t="shared" ref="T39" si="22">T38*0.015</f>
        <v>32591.438034932718</v>
      </c>
      <c r="U39" s="1">
        <f t="shared" ref="U39" si="23">U38*0.015</f>
        <v>33577.352415282039</v>
      </c>
      <c r="V39" s="1">
        <f t="shared" ref="V39" si="24">V38*0.015</f>
        <v>33913.12593943486</v>
      </c>
      <c r="W39" s="1">
        <f t="shared" ref="W39" si="25">W38*0.015</f>
        <v>34957.257198829218</v>
      </c>
      <c r="X39" s="42">
        <f t="shared" ref="X39:X43" si="26">O39/12</f>
        <v>833.33333333333337</v>
      </c>
      <c r="Y39" s="57">
        <f t="shared" si="14"/>
        <v>1.8916121377941079E-3</v>
      </c>
      <c r="Z39" s="1">
        <f>55*500</f>
        <v>27500</v>
      </c>
      <c r="AA39" s="57">
        <f t="shared" si="15"/>
        <v>4.9134191359470874E-3</v>
      </c>
      <c r="AB39" s="36" t="s">
        <v>315</v>
      </c>
    </row>
    <row r="40" spans="1:29" x14ac:dyDescent="0.2">
      <c r="C40" t="s">
        <v>8</v>
      </c>
      <c r="E40" s="3" t="s">
        <v>52</v>
      </c>
      <c r="F40" s="3">
        <v>5200220</v>
      </c>
      <c r="G40" s="14">
        <f>+G38*0.0765</f>
        <v>76623.623999999996</v>
      </c>
      <c r="H40" s="14" t="e">
        <f>+H38*0.0765</f>
        <v>#REF!</v>
      </c>
      <c r="I40" s="14" t="e">
        <f>+I38*0.0765+0.027*(#REF!+1)*7000</f>
        <v>#REF!</v>
      </c>
      <c r="J40" s="14" t="e">
        <f>+J38*0.0765+0.027*(#REF!+1)*7000</f>
        <v>#REF!</v>
      </c>
      <c r="K40" s="14" t="e">
        <f>+K38*0.0765+0.027*(#REF!+1)*7000</f>
        <v>#REF!</v>
      </c>
      <c r="L40" s="14" t="e">
        <f>+L38*0.0765+0.027*(#REF!+1)*7000</f>
        <v>#REF!</v>
      </c>
      <c r="M40" s="14" t="e">
        <f t="shared" si="3"/>
        <v>#REF!</v>
      </c>
      <c r="O40" s="14">
        <f>O38*0.0765</f>
        <v>158149.1385</v>
      </c>
      <c r="P40" s="14">
        <f t="shared" ref="P40:X40" si="27">+P38*0.0765</f>
        <v>159730.629885</v>
      </c>
      <c r="Q40" s="14">
        <f t="shared" si="27"/>
        <v>161327.93618385005</v>
      </c>
      <c r="R40" s="14">
        <f t="shared" si="27"/>
        <v>162941.21554568849</v>
      </c>
      <c r="S40" s="14">
        <f t="shared" si="27"/>
        <v>164570.62770114539</v>
      </c>
      <c r="T40" s="14">
        <f t="shared" si="27"/>
        <v>166216.33397815685</v>
      </c>
      <c r="U40" s="14">
        <f t="shared" si="27"/>
        <v>171244.4973179384</v>
      </c>
      <c r="V40" s="14">
        <f t="shared" si="27"/>
        <v>172956.9422911178</v>
      </c>
      <c r="W40" s="14">
        <f t="shared" si="27"/>
        <v>178282.01171402901</v>
      </c>
      <c r="X40" s="14">
        <f t="shared" si="27"/>
        <v>13179.094874999999</v>
      </c>
      <c r="Y40" s="57">
        <f t="shared" si="14"/>
        <v>2.9915682996828143E-2</v>
      </c>
      <c r="Z40" s="14">
        <f>Z38*0.0765</f>
        <v>165025.26449999999</v>
      </c>
      <c r="AA40" s="57">
        <f t="shared" si="15"/>
        <v>2.9485028818510166E-2</v>
      </c>
    </row>
    <row r="41" spans="1:29" ht="12.75" customHeight="1" x14ac:dyDescent="0.2">
      <c r="C41" t="s">
        <v>9</v>
      </c>
      <c r="E41" s="23" t="str">
        <f>CONCATENATE("$",ins*2," per month per employee / 50% participation")</f>
        <v>$533.333333333333 per month per employee / 50% participation</v>
      </c>
      <c r="F41" s="33">
        <v>5200230</v>
      </c>
      <c r="G41" s="14">
        <v>65000</v>
      </c>
      <c r="H41" s="14">
        <v>75000</v>
      </c>
      <c r="I41" s="14" t="e">
        <f>(#REF!+1)*ins*12*Inf</f>
        <v>#REF!</v>
      </c>
      <c r="J41" s="14" t="e">
        <f>(#REF!+1)*ins*12*Inf^2</f>
        <v>#REF!</v>
      </c>
      <c r="K41" s="14" t="e">
        <f>(#REF!+1)*ins*12*Inf^3</f>
        <v>#REF!</v>
      </c>
      <c r="L41" s="14" t="e">
        <f>(#REF!+1)*ins*12*Inf^4</f>
        <v>#REF!</v>
      </c>
      <c r="M41" s="14" t="e">
        <f t="shared" si="3"/>
        <v>#REF!</v>
      </c>
      <c r="O41" s="14">
        <v>160000</v>
      </c>
      <c r="P41" s="14">
        <f t="shared" ref="P41:W41" si="28">P38*0.065</f>
        <v>135718.83585</v>
      </c>
      <c r="Q41" s="14">
        <f t="shared" si="28"/>
        <v>137076.02420850005</v>
      </c>
      <c r="R41" s="14">
        <f t="shared" si="28"/>
        <v>138446.78445058502</v>
      </c>
      <c r="S41" s="14">
        <f t="shared" si="28"/>
        <v>139831.25229509088</v>
      </c>
      <c r="T41" s="14">
        <f t="shared" si="28"/>
        <v>141229.56481804178</v>
      </c>
      <c r="U41" s="14">
        <f t="shared" si="28"/>
        <v>145501.86046622219</v>
      </c>
      <c r="V41" s="14">
        <f t="shared" si="28"/>
        <v>146956.87907088443</v>
      </c>
      <c r="W41" s="14">
        <f t="shared" si="28"/>
        <v>151481.44786159327</v>
      </c>
      <c r="X41" s="42">
        <f t="shared" si="26"/>
        <v>13333.333333333334</v>
      </c>
      <c r="Y41" s="57">
        <f t="shared" si="14"/>
        <v>3.0265794204705727E-2</v>
      </c>
      <c r="Z41" s="1">
        <f>+O41*1.1</f>
        <v>176000</v>
      </c>
      <c r="AA41" s="57">
        <f t="shared" si="15"/>
        <v>3.1445882470061359E-2</v>
      </c>
      <c r="AB41" s="36" t="s">
        <v>313</v>
      </c>
    </row>
    <row r="42" spans="1:29" x14ac:dyDescent="0.2">
      <c r="C42" t="s">
        <v>10</v>
      </c>
      <c r="E42" s="11" t="s">
        <v>53</v>
      </c>
      <c r="F42" s="3">
        <v>5200240</v>
      </c>
      <c r="G42" s="30">
        <f>+G38*0.0057</f>
        <v>5709.2112000000006</v>
      </c>
      <c r="H42" s="30" t="e">
        <f>+H38*0.0057</f>
        <v>#REF!</v>
      </c>
      <c r="I42" s="30" t="e">
        <f t="shared" ref="I42:Q42" si="29">+I38*0.0057</f>
        <v>#REF!</v>
      </c>
      <c r="J42" s="30" t="e">
        <f t="shared" si="29"/>
        <v>#REF!</v>
      </c>
      <c r="K42" s="30" t="e">
        <f t="shared" si="29"/>
        <v>#REF!</v>
      </c>
      <c r="L42" s="30" t="e">
        <f t="shared" si="29"/>
        <v>#REF!</v>
      </c>
      <c r="M42" s="30" t="e">
        <f t="shared" si="29"/>
        <v>#REF!</v>
      </c>
      <c r="N42" s="30" t="e">
        <f t="shared" si="29"/>
        <v>#REF!</v>
      </c>
      <c r="O42" s="30">
        <f>+O38*0.0057</f>
        <v>11783.6613</v>
      </c>
      <c r="P42" s="30">
        <f t="shared" si="29"/>
        <v>11901.497913000001</v>
      </c>
      <c r="Q42" s="30">
        <f t="shared" si="29"/>
        <v>12020.512892130004</v>
      </c>
      <c r="R42" s="30">
        <f t="shared" ref="R42:W42" si="30">+R38*0.0057</f>
        <v>12140.718021051302</v>
      </c>
      <c r="S42" s="30">
        <f t="shared" si="30"/>
        <v>12262.125201261815</v>
      </c>
      <c r="T42" s="30">
        <f t="shared" si="30"/>
        <v>12384.746453274432</v>
      </c>
      <c r="U42" s="30">
        <f t="shared" si="30"/>
        <v>12759.393917807176</v>
      </c>
      <c r="V42" s="30">
        <f t="shared" si="30"/>
        <v>12886.98785698525</v>
      </c>
      <c r="W42" s="30">
        <f t="shared" si="30"/>
        <v>13283.757735555104</v>
      </c>
      <c r="X42" s="42">
        <f t="shared" si="26"/>
        <v>981.97177499999998</v>
      </c>
      <c r="Y42" s="57">
        <f t="shared" si="14"/>
        <v>2.2290116742734695E-3</v>
      </c>
      <c r="Z42" s="1">
        <f>+O42</f>
        <v>11783.6613</v>
      </c>
      <c r="AA42" s="57">
        <f t="shared" si="15"/>
        <v>2.1053842517432413E-3</v>
      </c>
    </row>
    <row r="43" spans="1:29" ht="15" x14ac:dyDescent="0.35">
      <c r="C43" s="29" t="s">
        <v>269</v>
      </c>
      <c r="E43" s="11"/>
      <c r="F43" s="3">
        <v>5200250</v>
      </c>
      <c r="G43" s="4">
        <f>7000*0.027*23</f>
        <v>4347</v>
      </c>
      <c r="H43" s="4">
        <v>7000</v>
      </c>
      <c r="I43" s="4"/>
      <c r="J43" s="4"/>
      <c r="K43" s="4"/>
      <c r="L43" s="4"/>
      <c r="M43" s="14"/>
      <c r="O43" s="4">
        <f>7000*60*0.007</f>
        <v>2940</v>
      </c>
      <c r="P43" s="4">
        <f t="shared" ref="P43:W43" si="31">7000*0.027*23</f>
        <v>4347</v>
      </c>
      <c r="Q43" s="4">
        <f t="shared" si="31"/>
        <v>4347</v>
      </c>
      <c r="R43" s="4">
        <f t="shared" si="31"/>
        <v>4347</v>
      </c>
      <c r="S43" s="4">
        <f t="shared" si="31"/>
        <v>4347</v>
      </c>
      <c r="T43" s="4">
        <f t="shared" si="31"/>
        <v>4347</v>
      </c>
      <c r="U43" s="4">
        <f t="shared" si="31"/>
        <v>4347</v>
      </c>
      <c r="V43" s="4">
        <f t="shared" si="31"/>
        <v>4347</v>
      </c>
      <c r="W43" s="4">
        <f t="shared" si="31"/>
        <v>4347</v>
      </c>
      <c r="X43" s="42">
        <f t="shared" si="26"/>
        <v>245</v>
      </c>
      <c r="Y43" s="58">
        <f t="shared" si="14"/>
        <v>5.5613396851146774E-4</v>
      </c>
      <c r="Z43" s="4">
        <f>+O43</f>
        <v>2940</v>
      </c>
      <c r="AA43" s="4">
        <f t="shared" ref="AA43:AC43" si="32">+P43</f>
        <v>4347</v>
      </c>
      <c r="AB43" s="4">
        <f t="shared" si="32"/>
        <v>4347</v>
      </c>
      <c r="AC43" s="4">
        <f t="shared" si="32"/>
        <v>4347</v>
      </c>
    </row>
    <row r="44" spans="1:29" ht="15" x14ac:dyDescent="0.35">
      <c r="D44" s="5" t="s">
        <v>42</v>
      </c>
      <c r="E44" s="9"/>
      <c r="G44" s="8">
        <f>SUBTOTAL(9,G39:G43)</f>
        <v>151679.8352</v>
      </c>
      <c r="H44" s="8" t="e">
        <f>SUBTOTAL(9,H39:H43)</f>
        <v>#REF!</v>
      </c>
      <c r="I44" s="6" t="e">
        <f t="shared" ref="I44:X44" si="33">SUBTOTAL(9,I39:I43)</f>
        <v>#REF!</v>
      </c>
      <c r="J44" s="6" t="e">
        <f t="shared" si="33"/>
        <v>#REF!</v>
      </c>
      <c r="K44" s="6" t="e">
        <f t="shared" si="33"/>
        <v>#REF!</v>
      </c>
      <c r="L44" s="6" t="e">
        <f t="shared" si="33"/>
        <v>#REF!</v>
      </c>
      <c r="M44" s="6" t="e">
        <f t="shared" si="33"/>
        <v>#REF!</v>
      </c>
      <c r="N44" s="6" t="e">
        <f t="shared" si="33"/>
        <v>#REF!</v>
      </c>
      <c r="O44" s="8">
        <f t="shared" si="33"/>
        <v>342872.79979999998</v>
      </c>
      <c r="P44" s="8">
        <f t="shared" si="33"/>
        <v>343017.69499799999</v>
      </c>
      <c r="Q44" s="8">
        <f t="shared" si="33"/>
        <v>346404.40194798011</v>
      </c>
      <c r="R44" s="8">
        <f t="shared" si="33"/>
        <v>349824.97596745985</v>
      </c>
      <c r="S44" s="8">
        <f t="shared" si="33"/>
        <v>353279.75572713447</v>
      </c>
      <c r="T44" s="8">
        <f t="shared" si="33"/>
        <v>356769.08328440582</v>
      </c>
      <c r="U44" s="8">
        <f t="shared" si="33"/>
        <v>367430.10411724984</v>
      </c>
      <c r="V44" s="8">
        <f t="shared" si="33"/>
        <v>371060.93515842233</v>
      </c>
      <c r="W44" s="8">
        <f t="shared" si="33"/>
        <v>382351.47451000661</v>
      </c>
      <c r="X44" s="8">
        <f t="shared" si="33"/>
        <v>28572.733316666665</v>
      </c>
      <c r="Y44" s="56">
        <f t="shared" si="14"/>
        <v>6.4858234982112906E-2</v>
      </c>
      <c r="Z44" s="8">
        <f>SUBTOTAL(9,Z39:Z43)</f>
        <v>383248.92579999997</v>
      </c>
      <c r="AA44" s="8">
        <f t="shared" ref="AA44:AC44" si="34">SUBTOTAL(9,AA39:AA43)</f>
        <v>4347.0679497146766</v>
      </c>
      <c r="AB44" s="8">
        <f t="shared" si="34"/>
        <v>4347</v>
      </c>
      <c r="AC44" s="8">
        <f t="shared" si="34"/>
        <v>4347</v>
      </c>
    </row>
    <row r="45" spans="1:29" s="48" customFormat="1" x14ac:dyDescent="0.2">
      <c r="A45" s="49"/>
      <c r="B45" s="49"/>
      <c r="C45" s="49" t="s">
        <v>11</v>
      </c>
      <c r="D45" s="49"/>
      <c r="E45" s="3" t="s">
        <v>71</v>
      </c>
      <c r="F45" s="3">
        <v>5100310</v>
      </c>
      <c r="G45" s="21">
        <v>109461</v>
      </c>
      <c r="H45" s="21">
        <f>0.02*(H10-H128)+50000+15000</f>
        <v>110242.68</v>
      </c>
      <c r="I45" s="21" t="e">
        <f>0.02*(I10-I128)</f>
        <v>#REF!</v>
      </c>
      <c r="J45" s="21" t="e">
        <f>0.02*(J10-J128)</f>
        <v>#REF!</v>
      </c>
      <c r="K45" s="21" t="e">
        <f>0.02*(K10-K128)</f>
        <v>#REF!</v>
      </c>
      <c r="L45" s="21" t="e">
        <f>0.02*(L10-L128)</f>
        <v>#REF!</v>
      </c>
      <c r="M45" s="14" t="e">
        <f t="shared" si="3"/>
        <v>#REF!</v>
      </c>
      <c r="N45"/>
      <c r="O45" s="53">
        <f>0.03*(O10-O128)</f>
        <v>148767.47999999998</v>
      </c>
      <c r="P45" s="21">
        <f>0.025*(P10-P128)+50000+30000</f>
        <v>193830.375</v>
      </c>
      <c r="Q45" s="21">
        <f>0.025*(Q10-Q128)+50000+30000</f>
        <v>193830.375</v>
      </c>
      <c r="R45" s="21">
        <f>0.025*(R10-R128)+50000+30000</f>
        <v>193830.375</v>
      </c>
      <c r="S45" s="21">
        <f>0.025*(S10-S128)+50000+20000</f>
        <v>183830.375</v>
      </c>
      <c r="T45" s="21">
        <f>0.025*(T10-T128)+50000+30000</f>
        <v>193830.375</v>
      </c>
      <c r="U45" s="21">
        <f>0.025*(U10-U128)+50000+30000</f>
        <v>196891.52500000002</v>
      </c>
      <c r="V45" s="21">
        <f>0.025*(V10-V128)+50000+30000</f>
        <v>196891.52500000002</v>
      </c>
      <c r="W45" s="21">
        <f>0.025*(W10-W128)+50000+30000</f>
        <v>199952.15000000002</v>
      </c>
      <c r="X45" s="42">
        <f t="shared" ref="X45:X55" si="35">O45/12</f>
        <v>12397.289999999999</v>
      </c>
      <c r="Y45" s="57">
        <f t="shared" si="14"/>
        <v>2.8141037087704216E-2</v>
      </c>
      <c r="Z45" s="53">
        <f>0.03*(Z10-Z128)</f>
        <v>150604.11555555556</v>
      </c>
      <c r="AA45" s="53">
        <f t="shared" ref="AA45:AC45" si="36">0.03*(AA10-AA128)</f>
        <v>2.6908405211747387E-2</v>
      </c>
      <c r="AB45" s="53">
        <f t="shared" si="36"/>
        <v>0</v>
      </c>
      <c r="AC45" s="53">
        <f t="shared" si="36"/>
        <v>0</v>
      </c>
    </row>
    <row r="46" spans="1:29" x14ac:dyDescent="0.2">
      <c r="C46" t="s">
        <v>12</v>
      </c>
      <c r="E46" s="3" t="s">
        <v>211</v>
      </c>
      <c r="F46" s="3">
        <v>5100330</v>
      </c>
      <c r="G46" s="14">
        <v>2500</v>
      </c>
      <c r="H46" s="14">
        <v>1000</v>
      </c>
      <c r="I46" s="14">
        <f>+H46</f>
        <v>1000</v>
      </c>
      <c r="J46" s="14">
        <f>+I46</f>
        <v>1000</v>
      </c>
      <c r="K46" s="14">
        <f>+J46</f>
        <v>1000</v>
      </c>
      <c r="L46" s="14">
        <f>+K46</f>
        <v>1000</v>
      </c>
      <c r="M46" s="14" t="str">
        <f t="shared" si="3"/>
        <v>*</v>
      </c>
      <c r="O46" s="14">
        <v>2500</v>
      </c>
      <c r="P46" s="14">
        <v>2500</v>
      </c>
      <c r="Q46" s="14">
        <v>2500</v>
      </c>
      <c r="R46" s="14">
        <v>2500</v>
      </c>
      <c r="S46" s="14">
        <v>2500</v>
      </c>
      <c r="T46" s="14">
        <v>2500</v>
      </c>
      <c r="U46" s="14">
        <v>2500</v>
      </c>
      <c r="V46" s="14">
        <v>2500</v>
      </c>
      <c r="W46" s="14">
        <v>2500</v>
      </c>
      <c r="X46" s="42">
        <f t="shared" si="35"/>
        <v>208.33333333333334</v>
      </c>
      <c r="Y46" s="57">
        <f t="shared" si="14"/>
        <v>4.7290303444852698E-4</v>
      </c>
      <c r="Z46" s="1">
        <f>+O46</f>
        <v>2500</v>
      </c>
      <c r="AA46" s="57">
        <f t="shared" si="15"/>
        <v>4.4667446690428069E-4</v>
      </c>
    </row>
    <row r="47" spans="1:29" x14ac:dyDescent="0.2">
      <c r="C47" s="29" t="s">
        <v>260</v>
      </c>
      <c r="E47" s="3" t="s">
        <v>219</v>
      </c>
      <c r="F47" s="3">
        <v>5100510</v>
      </c>
      <c r="G47" s="14">
        <v>10000</v>
      </c>
      <c r="H47" s="14">
        <v>15000</v>
      </c>
      <c r="I47" s="14" t="e">
        <f>+H47/H7*(I7-H7)*Inf</f>
        <v>#REF!</v>
      </c>
      <c r="J47" s="14" t="e">
        <f>+I47/I7*J7*Inf-5000</f>
        <v>#REF!</v>
      </c>
      <c r="K47" s="14" t="e">
        <f>+J47/J7*K7*Inf</f>
        <v>#REF!</v>
      </c>
      <c r="L47" s="14" t="e">
        <f>+K47/K7*L7*Inf</f>
        <v>#REF!</v>
      </c>
      <c r="M47" s="14" t="e">
        <f t="shared" si="3"/>
        <v>#REF!</v>
      </c>
      <c r="O47" s="14">
        <v>25000</v>
      </c>
      <c r="P47" s="14">
        <f>O47</f>
        <v>25000</v>
      </c>
      <c r="Q47" s="14">
        <f>P47</f>
        <v>25000</v>
      </c>
      <c r="R47" s="14">
        <f t="shared" ref="R47:W47" si="37">Q47</f>
        <v>25000</v>
      </c>
      <c r="S47" s="14">
        <f t="shared" si="37"/>
        <v>25000</v>
      </c>
      <c r="T47" s="14">
        <f t="shared" si="37"/>
        <v>25000</v>
      </c>
      <c r="U47" s="14">
        <f t="shared" si="37"/>
        <v>25000</v>
      </c>
      <c r="V47" s="14">
        <f t="shared" si="37"/>
        <v>25000</v>
      </c>
      <c r="W47" s="14">
        <f t="shared" si="37"/>
        <v>25000</v>
      </c>
      <c r="X47" s="42">
        <f t="shared" si="35"/>
        <v>2083.3333333333335</v>
      </c>
      <c r="Y47" s="57">
        <f t="shared" si="14"/>
        <v>4.7290303444852697E-3</v>
      </c>
      <c r="Z47" s="1">
        <f t="shared" ref="Z47:Z54" si="38">+O47</f>
        <v>25000</v>
      </c>
      <c r="AA47" s="57">
        <f t="shared" si="15"/>
        <v>4.4667446690428072E-3</v>
      </c>
    </row>
    <row r="48" spans="1:29" x14ac:dyDescent="0.2">
      <c r="C48" s="36" t="s">
        <v>290</v>
      </c>
      <c r="G48" s="14"/>
      <c r="M48" s="14"/>
      <c r="O48" s="14">
        <v>35000</v>
      </c>
      <c r="P48" s="14"/>
      <c r="Q48" s="14"/>
      <c r="R48" s="14"/>
      <c r="S48" s="14"/>
      <c r="T48" s="14"/>
      <c r="U48" s="14"/>
      <c r="V48" s="14"/>
      <c r="W48" s="14"/>
      <c r="Y48" s="57">
        <f t="shared" si="14"/>
        <v>6.6206424822793774E-3</v>
      </c>
      <c r="Z48" s="1">
        <f t="shared" si="38"/>
        <v>35000</v>
      </c>
      <c r="AA48" s="1">
        <f t="shared" ref="AA48" si="39">+P48</f>
        <v>0</v>
      </c>
      <c r="AB48" s="1">
        <f t="shared" ref="AB48" si="40">+Q48</f>
        <v>0</v>
      </c>
      <c r="AC48" s="1">
        <f t="shared" ref="AC48" si="41">+R48</f>
        <v>0</v>
      </c>
    </row>
    <row r="49" spans="2:27" x14ac:dyDescent="0.2">
      <c r="C49" t="s">
        <v>247</v>
      </c>
      <c r="E49" s="3" t="s">
        <v>236</v>
      </c>
      <c r="F49" s="3">
        <v>5100590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 t="str">
        <f t="shared" si="3"/>
        <v/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42">
        <f t="shared" si="35"/>
        <v>0</v>
      </c>
      <c r="Y49" s="57">
        <f t="shared" si="14"/>
        <v>0</v>
      </c>
      <c r="Z49" s="1">
        <f t="shared" si="38"/>
        <v>0</v>
      </c>
      <c r="AA49" s="57">
        <f t="shared" si="15"/>
        <v>0</v>
      </c>
    </row>
    <row r="50" spans="2:27" x14ac:dyDescent="0.2">
      <c r="C50" t="s">
        <v>14</v>
      </c>
      <c r="E50" s="23" t="s">
        <v>237</v>
      </c>
      <c r="F50" s="27">
        <v>5100520</v>
      </c>
      <c r="G50" s="14">
        <v>20000</v>
      </c>
      <c r="H50" s="14">
        <v>10000</v>
      </c>
      <c r="I50" s="14" t="e">
        <f>300*(I7-H7)*Inf</f>
        <v>#REF!</v>
      </c>
      <c r="J50" s="14" t="e">
        <f>100*(J7-I7)*Inf^2+250/10*I7*Inf^2</f>
        <v>#REF!</v>
      </c>
      <c r="K50" s="14" t="e">
        <f>250*(K7-J7)*Inf^3+250/10*J7*Inf^3</f>
        <v>#REF!</v>
      </c>
      <c r="L50" s="14" t="e">
        <f>250*(L7-K7)*Inf^4+250/10*K7*Inf^4</f>
        <v>#REF!</v>
      </c>
      <c r="M50" s="14" t="e">
        <f t="shared" si="3"/>
        <v>#REF!</v>
      </c>
      <c r="O50" s="14">
        <v>15000</v>
      </c>
      <c r="P50" s="14">
        <v>20000</v>
      </c>
      <c r="Q50" s="14">
        <v>35000</v>
      </c>
      <c r="R50" s="14">
        <v>20000</v>
      </c>
      <c r="S50" s="14">
        <v>35000</v>
      </c>
      <c r="T50" s="14">
        <v>20000</v>
      </c>
      <c r="U50" s="14">
        <v>35000</v>
      </c>
      <c r="V50" s="14">
        <v>20000</v>
      </c>
      <c r="W50" s="14">
        <v>35000</v>
      </c>
      <c r="X50" s="42">
        <f t="shared" si="35"/>
        <v>1250</v>
      </c>
      <c r="Y50" s="57">
        <f t="shared" si="14"/>
        <v>2.837418206691162E-3</v>
      </c>
      <c r="Z50" s="1">
        <v>15000</v>
      </c>
      <c r="AA50" s="57">
        <f t="shared" si="15"/>
        <v>2.6800468014256842E-3</v>
      </c>
    </row>
    <row r="51" spans="2:27" x14ac:dyDescent="0.2">
      <c r="C51" t="s">
        <v>248</v>
      </c>
      <c r="E51" s="3" t="s">
        <v>105</v>
      </c>
      <c r="F51" s="3">
        <v>5100643</v>
      </c>
      <c r="G51" s="14">
        <v>15000</v>
      </c>
      <c r="H51" s="14">
        <v>5000</v>
      </c>
      <c r="I51" s="14" t="e">
        <f>1000*(((#REF!-#REF!)+0)*Inf)+500/10*(#REF!+#REF!+0)*Inf</f>
        <v>#REF!</v>
      </c>
      <c r="J51" s="14" t="e">
        <f>1500*(((#REF!-#REF!)+0)*Inf^2)+500/10*(#REF!+#REF!+#REF!-#REF!+0)*Inf^2</f>
        <v>#REF!</v>
      </c>
      <c r="K51" s="14" t="e">
        <f>500*(((#REF!-#REF!)+0)*Inf^3)+1500/10*(#REF!+#REF!+#REF!-#REF!+0)*Inf^3</f>
        <v>#REF!</v>
      </c>
      <c r="L51" s="14" t="e">
        <f>500*(((#REF!-#REF!)+0)*Inf^4)+1500/10*(#REF!+#REF!+#REF!-#REF!+0)*Inf^4</f>
        <v>#REF!</v>
      </c>
      <c r="M51" s="14" t="e">
        <f t="shared" si="3"/>
        <v>#REF!</v>
      </c>
      <c r="O51" s="14">
        <v>150000</v>
      </c>
      <c r="P51" s="14">
        <v>70000</v>
      </c>
      <c r="Q51" s="14">
        <v>40000</v>
      </c>
      <c r="R51" s="14">
        <v>20000</v>
      </c>
      <c r="S51" s="14">
        <v>40000</v>
      </c>
      <c r="T51" s="14">
        <v>40000</v>
      </c>
      <c r="U51" s="14">
        <v>40000</v>
      </c>
      <c r="V51" s="14">
        <v>40000</v>
      </c>
      <c r="W51" s="14">
        <v>40000</v>
      </c>
      <c r="X51" s="42">
        <f t="shared" si="35"/>
        <v>12500</v>
      </c>
      <c r="Y51" s="57">
        <f t="shared" si="14"/>
        <v>2.8374182066911616E-2</v>
      </c>
      <c r="Z51" s="1">
        <f t="shared" si="38"/>
        <v>150000</v>
      </c>
      <c r="AA51" s="57">
        <f t="shared" si="15"/>
        <v>2.680046801425684E-2</v>
      </c>
    </row>
    <row r="52" spans="2:27" x14ac:dyDescent="0.2">
      <c r="C52" t="s">
        <v>193</v>
      </c>
      <c r="E52" s="23" t="s">
        <v>107</v>
      </c>
      <c r="F52" s="3">
        <v>5100641</v>
      </c>
      <c r="G52" s="14">
        <v>8000</v>
      </c>
      <c r="H52" s="14">
        <v>2500</v>
      </c>
      <c r="I52" s="14" t="e">
        <f>1000*(((#REF!-#REF!)+0)*Inf)+2500/10*(#REF!+#REF!+0)*Inf</f>
        <v>#REF!</v>
      </c>
      <c r="J52" s="14" t="e">
        <f>700*(((#REF!-#REF!)+0)*Inf^2)+1500/10*(#REF!+#REF!+#REF!-#REF!+0)*Inf^2</f>
        <v>#REF!</v>
      </c>
      <c r="K52" s="14" t="e">
        <f>2500*(((#REF!-#REF!)+0)*Inf^3)+2500/10*(#REF!+#REF!+#REF!-#REF!+0)*Inf^3+60000</f>
        <v>#REF!</v>
      </c>
      <c r="L52" s="14" t="e">
        <f>2500*(((#REF!-#REF!)+0)*Inf^4)+2500/10*(#REF!+#REF!+#REF!-#REF!+0)*Inf^4</f>
        <v>#REF!</v>
      </c>
      <c r="M52" s="14" t="e">
        <f t="shared" si="3"/>
        <v>#REF!</v>
      </c>
      <c r="O52" s="14">
        <v>10000</v>
      </c>
      <c r="P52" s="14">
        <v>8000</v>
      </c>
      <c r="Q52" s="14">
        <v>12000</v>
      </c>
      <c r="R52" s="14">
        <v>8000</v>
      </c>
      <c r="S52" s="14">
        <v>12000</v>
      </c>
      <c r="T52" s="14">
        <v>8000</v>
      </c>
      <c r="U52" s="14">
        <v>12000</v>
      </c>
      <c r="V52" s="14">
        <v>8000</v>
      </c>
      <c r="W52" s="14">
        <v>12000</v>
      </c>
      <c r="X52" s="42">
        <f t="shared" si="35"/>
        <v>833.33333333333337</v>
      </c>
      <c r="Y52" s="57">
        <f t="shared" si="14"/>
        <v>1.8916121377941079E-3</v>
      </c>
      <c r="Z52" s="1">
        <f t="shared" si="38"/>
        <v>10000</v>
      </c>
      <c r="AA52" s="57">
        <f t="shared" si="15"/>
        <v>1.7866978676171227E-3</v>
      </c>
    </row>
    <row r="53" spans="2:27" x14ac:dyDescent="0.2">
      <c r="C53" t="s">
        <v>252</v>
      </c>
      <c r="E53" s="23"/>
      <c r="F53" s="3">
        <v>5100310</v>
      </c>
      <c r="G53" s="14">
        <v>10000</v>
      </c>
      <c r="H53" s="14">
        <v>7000</v>
      </c>
      <c r="I53" s="14">
        <v>20000</v>
      </c>
      <c r="J53" s="14">
        <v>30000</v>
      </c>
      <c r="K53" s="14">
        <v>30000</v>
      </c>
      <c r="L53" s="14">
        <v>35000</v>
      </c>
      <c r="M53" s="14"/>
      <c r="O53" s="14">
        <v>5000</v>
      </c>
      <c r="P53" s="14">
        <v>10000</v>
      </c>
      <c r="Q53" s="14">
        <v>10000</v>
      </c>
      <c r="R53" s="14">
        <v>10000</v>
      </c>
      <c r="S53" s="14">
        <v>10000</v>
      </c>
      <c r="T53" s="14">
        <v>10000</v>
      </c>
      <c r="U53" s="14">
        <v>10000</v>
      </c>
      <c r="V53" s="14">
        <v>10000</v>
      </c>
      <c r="W53" s="14">
        <v>10000</v>
      </c>
      <c r="X53" s="42">
        <f t="shared" si="35"/>
        <v>416.66666666666669</v>
      </c>
      <c r="Y53" s="57">
        <f t="shared" si="14"/>
        <v>9.4580606889705396E-4</v>
      </c>
      <c r="Z53" s="1">
        <f t="shared" si="38"/>
        <v>5000</v>
      </c>
      <c r="AA53" s="57">
        <f t="shared" si="15"/>
        <v>8.9334893380856137E-4</v>
      </c>
    </row>
    <row r="54" spans="2:27" x14ac:dyDescent="0.2">
      <c r="C54" t="s">
        <v>16</v>
      </c>
      <c r="E54" s="23" t="s">
        <v>242</v>
      </c>
      <c r="F54" s="3">
        <v>5100692</v>
      </c>
      <c r="G54" s="14">
        <v>6000</v>
      </c>
      <c r="H54" s="14">
        <v>6000</v>
      </c>
      <c r="I54" s="14" t="e">
        <f>3700*(((#REF!-#REF!)+0)*Inf)+700/10*(#REF!+#REF!+0)*Inf</f>
        <v>#REF!</v>
      </c>
      <c r="J54" s="14" t="e">
        <f>1700*(((#REF!-#REF!)+0)*Inf^2)+700/10*(#REF!+#REF!+#REF!-#REF!+0)*Inf^2</f>
        <v>#REF!</v>
      </c>
      <c r="K54" s="14" t="e">
        <f>1700*(((#REF!-#REF!)+0)*Inf^3)+2100/10*(#REF!+#REF!+#REF!-#REF!+0)*Inf^3</f>
        <v>#REF!</v>
      </c>
      <c r="L54" s="14" t="e">
        <f>700*(((#REF!-#REF!)+0)*Inf^4)+2100/10*(#REF!+#REF!+#REF!-#REF!+0)*Inf^4</f>
        <v>#REF!</v>
      </c>
      <c r="M54" s="14" t="e">
        <f t="shared" si="3"/>
        <v>#REF!</v>
      </c>
      <c r="O54" s="14">
        <v>35000</v>
      </c>
      <c r="P54" s="14">
        <v>6000</v>
      </c>
      <c r="Q54" s="14">
        <v>6000</v>
      </c>
      <c r="R54" s="14">
        <v>6000</v>
      </c>
      <c r="S54" s="14">
        <v>6000</v>
      </c>
      <c r="T54" s="14">
        <v>6000</v>
      </c>
      <c r="U54" s="14">
        <v>6000</v>
      </c>
      <c r="V54" s="14">
        <v>6000</v>
      </c>
      <c r="W54" s="14">
        <v>6000</v>
      </c>
      <c r="X54" s="42">
        <f t="shared" si="35"/>
        <v>2916.6666666666665</v>
      </c>
      <c r="Y54" s="57">
        <f t="shared" si="14"/>
        <v>6.6206424822793774E-3</v>
      </c>
      <c r="Z54" s="1">
        <f t="shared" si="38"/>
        <v>35000</v>
      </c>
      <c r="AA54" s="57">
        <f t="shared" si="15"/>
        <v>6.2534425366599297E-3</v>
      </c>
    </row>
    <row r="55" spans="2:27" ht="15" x14ac:dyDescent="0.35">
      <c r="C55" t="s">
        <v>17</v>
      </c>
      <c r="E55" s="3" t="s">
        <v>212</v>
      </c>
      <c r="F55" s="3">
        <v>5100140</v>
      </c>
      <c r="G55" s="4">
        <v>15000</v>
      </c>
      <c r="H55" s="4">
        <v>20000</v>
      </c>
      <c r="I55" s="4" t="e">
        <f>12*100*(#REF!+#REF!+(#REF!-#REF!+0))*Inf</f>
        <v>#REF!</v>
      </c>
      <c r="J55" s="4" t="e">
        <f>10*100*(#REF!+#REF!+(#REF!-#REF!+0))*Inf^2</f>
        <v>#REF!</v>
      </c>
      <c r="K55" s="4" t="e">
        <f>12*100*(#REF!+#REF!+(#REF!-#REF!+0))*Inf^3</f>
        <v>#REF!</v>
      </c>
      <c r="L55" s="4" t="e">
        <f>12*100*(#REF!+#REF!+(#REF!-#REF!+0))*Inf^4</f>
        <v>#REF!</v>
      </c>
      <c r="M55" s="14" t="e">
        <f t="shared" si="3"/>
        <v>#REF!</v>
      </c>
      <c r="O55" s="4">
        <v>75000</v>
      </c>
      <c r="P55" s="4">
        <v>40000</v>
      </c>
      <c r="Q55" s="4">
        <v>40000</v>
      </c>
      <c r="R55" s="4">
        <v>40000</v>
      </c>
      <c r="S55" s="4">
        <v>40000</v>
      </c>
      <c r="T55" s="4">
        <v>40000</v>
      </c>
      <c r="U55" s="4">
        <v>40000</v>
      </c>
      <c r="V55" s="4">
        <v>40000</v>
      </c>
      <c r="W55" s="4">
        <v>40000</v>
      </c>
      <c r="X55" s="42">
        <f t="shared" si="35"/>
        <v>6250</v>
      </c>
      <c r="Y55" s="58">
        <f t="shared" si="14"/>
        <v>1.4187091033455808E-2</v>
      </c>
      <c r="Z55" s="4">
        <v>60000</v>
      </c>
      <c r="AA55" s="69">
        <f t="shared" si="15"/>
        <v>1.0720187205702737E-2</v>
      </c>
    </row>
    <row r="56" spans="2:27" ht="15" x14ac:dyDescent="0.35">
      <c r="D56" s="5" t="s">
        <v>43</v>
      </c>
      <c r="E56" s="9"/>
      <c r="G56" s="6">
        <f t="shared" ref="G56:X56" si="42">SUM(G45:G55)</f>
        <v>195961</v>
      </c>
      <c r="H56" s="6">
        <f t="shared" si="42"/>
        <v>176742.68</v>
      </c>
      <c r="I56" s="6" t="e">
        <f t="shared" si="42"/>
        <v>#REF!</v>
      </c>
      <c r="J56" s="6" t="e">
        <f t="shared" si="42"/>
        <v>#REF!</v>
      </c>
      <c r="K56" s="6" t="e">
        <f t="shared" si="42"/>
        <v>#REF!</v>
      </c>
      <c r="L56" s="6" t="e">
        <f t="shared" si="42"/>
        <v>#REF!</v>
      </c>
      <c r="M56" s="6" t="e">
        <f t="shared" si="42"/>
        <v>#REF!</v>
      </c>
      <c r="N56" s="6">
        <f t="shared" si="42"/>
        <v>0</v>
      </c>
      <c r="O56" s="6">
        <f t="shared" si="42"/>
        <v>501267.48</v>
      </c>
      <c r="P56" s="6">
        <f t="shared" si="42"/>
        <v>375330.375</v>
      </c>
      <c r="Q56" s="6">
        <f t="shared" si="42"/>
        <v>364330.375</v>
      </c>
      <c r="R56" s="6">
        <f t="shared" si="42"/>
        <v>325330.375</v>
      </c>
      <c r="S56" s="6">
        <f t="shared" si="42"/>
        <v>354330.375</v>
      </c>
      <c r="T56" s="6">
        <f t="shared" si="42"/>
        <v>345330.375</v>
      </c>
      <c r="U56" s="6">
        <f t="shared" si="42"/>
        <v>367391.52500000002</v>
      </c>
      <c r="V56" s="6">
        <f t="shared" si="42"/>
        <v>348391.52500000002</v>
      </c>
      <c r="W56" s="6">
        <f t="shared" si="42"/>
        <v>370452.15</v>
      </c>
      <c r="X56" s="6">
        <f t="shared" si="42"/>
        <v>38855.623333333337</v>
      </c>
      <c r="Y56" s="59">
        <f t="shared" si="14"/>
        <v>9.4820364944946514E-2</v>
      </c>
      <c r="Z56" s="6">
        <f>SUBTOTAL(9,Z45:Z55)</f>
        <v>488104.11555555556</v>
      </c>
      <c r="AA56" s="70">
        <f t="shared" si="15"/>
        <v>8.7209458243825283E-2</v>
      </c>
    </row>
    <row r="57" spans="2:27" ht="15" x14ac:dyDescent="0.35">
      <c r="B57" s="5" t="s">
        <v>18</v>
      </c>
      <c r="C57" s="5"/>
      <c r="D57" s="5"/>
      <c r="E57" s="9"/>
      <c r="G57" s="8">
        <f t="shared" ref="G57:Z57" si="43">SUM(G56,G44,G38)</f>
        <v>1349256.8352000001</v>
      </c>
      <c r="H57" s="8" t="e">
        <f t="shared" si="43"/>
        <v>#REF!</v>
      </c>
      <c r="I57" s="6" t="e">
        <f t="shared" si="43"/>
        <v>#REF!</v>
      </c>
      <c r="J57" s="6" t="e">
        <f t="shared" si="43"/>
        <v>#REF!</v>
      </c>
      <c r="K57" s="6" t="e">
        <f t="shared" si="43"/>
        <v>#REF!</v>
      </c>
      <c r="L57" s="6" t="e">
        <f t="shared" si="43"/>
        <v>#REF!</v>
      </c>
      <c r="M57" s="6" t="e">
        <f t="shared" si="43"/>
        <v>#REF!</v>
      </c>
      <c r="N57" s="6" t="e">
        <f t="shared" si="43"/>
        <v>#REF!</v>
      </c>
      <c r="O57" s="8">
        <f t="shared" si="43"/>
        <v>2911449.2797999997</v>
      </c>
      <c r="P57" s="8">
        <f t="shared" si="43"/>
        <v>2806330.1599980001</v>
      </c>
      <c r="Q57" s="8">
        <f t="shared" si="43"/>
        <v>2819596.6878479803</v>
      </c>
      <c r="R57" s="8">
        <f t="shared" si="43"/>
        <v>2805105.8809764599</v>
      </c>
      <c r="S57" s="8">
        <f t="shared" si="43"/>
        <v>2858860.1660362249</v>
      </c>
      <c r="T57" s="8">
        <f t="shared" si="43"/>
        <v>2874861.9939465867</v>
      </c>
      <c r="U57" s="8">
        <f t="shared" si="43"/>
        <v>2973311.7901360528</v>
      </c>
      <c r="V57" s="8">
        <f t="shared" si="43"/>
        <v>2980327.5227874136</v>
      </c>
      <c r="W57" s="8">
        <f t="shared" si="43"/>
        <v>3083287.4377652877</v>
      </c>
      <c r="X57" s="8">
        <f t="shared" si="43"/>
        <v>239704.10665</v>
      </c>
      <c r="Y57" s="56">
        <f t="shared" si="14"/>
        <v>0.5507332796241593</v>
      </c>
      <c r="Z57" s="8">
        <f t="shared" si="43"/>
        <v>3028546.0413555554</v>
      </c>
      <c r="AA57" s="56">
        <f t="shared" si="15"/>
        <v>0.54110967540702493</v>
      </c>
    </row>
    <row r="58" spans="2:27" ht="15" x14ac:dyDescent="0.35">
      <c r="B58" s="5"/>
      <c r="C58" s="5"/>
      <c r="D58" s="5"/>
      <c r="E58" s="41"/>
      <c r="G58" s="8"/>
      <c r="H58" s="8"/>
      <c r="I58" s="6"/>
      <c r="J58" s="6"/>
      <c r="K58" s="6"/>
      <c r="L58" s="6"/>
      <c r="M58" s="6"/>
      <c r="N58" s="6"/>
      <c r="O58" s="8"/>
      <c r="P58" s="8"/>
      <c r="Q58" s="8"/>
      <c r="R58" s="8"/>
      <c r="S58" s="8"/>
      <c r="T58" s="8"/>
      <c r="U58" s="8"/>
      <c r="V58" s="8"/>
      <c r="W58" s="8"/>
      <c r="AA58" s="57"/>
    </row>
    <row r="59" spans="2:27" x14ac:dyDescent="0.2">
      <c r="G59" s="14"/>
      <c r="M59" s="14" t="e">
        <f>IF(M57="*","*","")</f>
        <v>#REF!</v>
      </c>
      <c r="P59" s="1"/>
      <c r="Q59" s="1"/>
      <c r="R59" s="1"/>
      <c r="S59" s="1"/>
      <c r="T59" s="1"/>
      <c r="U59" s="1"/>
      <c r="V59" s="1"/>
      <c r="W59" s="1"/>
      <c r="Y59" s="71"/>
      <c r="AA59" s="57"/>
    </row>
    <row r="60" spans="2:27" hidden="1" x14ac:dyDescent="0.2">
      <c r="B60" s="5" t="s">
        <v>66</v>
      </c>
      <c r="F60" s="3">
        <v>5100330</v>
      </c>
      <c r="G60" s="30">
        <v>7000</v>
      </c>
      <c r="M60" s="21" t="e">
        <f>IF(M71="*","*","")</f>
        <v>#REF!</v>
      </c>
      <c r="X60"/>
      <c r="Y60" s="17"/>
      <c r="Z60"/>
      <c r="AA60" s="61">
        <f>+Q60/$O$17</f>
        <v>0</v>
      </c>
    </row>
    <row r="61" spans="2:27" hidden="1" x14ac:dyDescent="0.2">
      <c r="C61" t="s">
        <v>109</v>
      </c>
      <c r="E61" s="3" t="s">
        <v>210</v>
      </c>
      <c r="F61" s="3">
        <v>5100520</v>
      </c>
      <c r="G61" s="30">
        <v>2500</v>
      </c>
      <c r="H61" s="14" t="e">
        <f>+#REF!</f>
        <v>#REF!</v>
      </c>
      <c r="I61" s="14" t="e">
        <f t="shared" ref="I61:L62" si="44">+H61*Inf</f>
        <v>#REF!</v>
      </c>
      <c r="J61" s="14" t="e">
        <f t="shared" si="44"/>
        <v>#REF!</v>
      </c>
      <c r="K61" s="14" t="e">
        <f t="shared" si="44"/>
        <v>#REF!</v>
      </c>
      <c r="L61" s="14" t="e">
        <f t="shared" si="44"/>
        <v>#REF!</v>
      </c>
      <c r="M61" s="14" t="e">
        <f t="shared" si="3"/>
        <v>#REF!</v>
      </c>
      <c r="X61"/>
      <c r="Y61" s="17"/>
      <c r="Z61"/>
      <c r="AA61" s="61">
        <f t="shared" ref="AA61:AA91" si="45">+Q61/$O$17</f>
        <v>0</v>
      </c>
    </row>
    <row r="62" spans="2:27" ht="15" hidden="1" x14ac:dyDescent="0.35">
      <c r="B62" s="5"/>
      <c r="C62" t="s">
        <v>201</v>
      </c>
      <c r="E62" s="3" t="s">
        <v>210</v>
      </c>
      <c r="F62" s="3">
        <v>5100643</v>
      </c>
      <c r="G62" s="14"/>
      <c r="H62" s="4" t="e">
        <f>+#REF!+#REF!+#REF!</f>
        <v>#REF!</v>
      </c>
      <c r="I62" s="4" t="e">
        <f>+H62*Inf</f>
        <v>#REF!</v>
      </c>
      <c r="J62" s="4" t="e">
        <f>+I62*Inf+30500*Inf^2*0</f>
        <v>#REF!</v>
      </c>
      <c r="K62" s="4" t="e">
        <f t="shared" si="44"/>
        <v>#REF!</v>
      </c>
      <c r="L62" s="4" t="e">
        <f t="shared" si="44"/>
        <v>#REF!</v>
      </c>
      <c r="M62" s="14" t="e">
        <f t="shared" si="3"/>
        <v>#REF!</v>
      </c>
      <c r="X62"/>
      <c r="Y62" s="17"/>
      <c r="Z62"/>
      <c r="AA62" s="57">
        <f t="shared" si="45"/>
        <v>0</v>
      </c>
    </row>
    <row r="63" spans="2:27" ht="15" hidden="1" x14ac:dyDescent="0.35">
      <c r="B63" s="5"/>
      <c r="D63" s="5" t="s">
        <v>110</v>
      </c>
      <c r="F63" s="3">
        <v>5100641</v>
      </c>
      <c r="G63" s="8">
        <v>0</v>
      </c>
      <c r="H63" s="6" t="e">
        <f>SUM(H61:H62)</f>
        <v>#REF!</v>
      </c>
      <c r="I63" s="6" t="e">
        <f>SUM(I61:I62)</f>
        <v>#REF!</v>
      </c>
      <c r="J63" s="6" t="e">
        <f>SUM(J61:J62)</f>
        <v>#REF!</v>
      </c>
      <c r="K63" s="6" t="e">
        <f>SUM(K61:K62)</f>
        <v>#REF!</v>
      </c>
      <c r="L63" s="6" t="e">
        <f>SUM(L61:L62)</f>
        <v>#REF!</v>
      </c>
      <c r="M63" s="14" t="e">
        <f t="shared" si="3"/>
        <v>#REF!</v>
      </c>
      <c r="X63"/>
      <c r="Y63" s="17"/>
      <c r="Z63"/>
      <c r="AA63" s="57">
        <f t="shared" si="45"/>
        <v>0</v>
      </c>
    </row>
    <row r="64" spans="2:27" ht="15" hidden="1" x14ac:dyDescent="0.35">
      <c r="B64" s="5"/>
      <c r="C64" t="s">
        <v>7</v>
      </c>
      <c r="E64" s="22">
        <v>1.4999999999999999E-2</v>
      </c>
      <c r="F64" s="3">
        <v>5100691</v>
      </c>
      <c r="G64" s="4">
        <v>69346</v>
      </c>
      <c r="H64" s="14" t="e">
        <f>+H63*0.015</f>
        <v>#REF!</v>
      </c>
      <c r="I64" s="14" t="e">
        <f>+I63*0.015</f>
        <v>#REF!</v>
      </c>
      <c r="J64" s="14" t="e">
        <f>+J63*0.015</f>
        <v>#REF!</v>
      </c>
      <c r="K64" s="14" t="e">
        <f>+K63*0.015</f>
        <v>#REF!</v>
      </c>
      <c r="L64" s="14" t="e">
        <f>+L63*0.015</f>
        <v>#REF!</v>
      </c>
      <c r="M64" s="14" t="e">
        <f t="shared" si="3"/>
        <v>#REF!</v>
      </c>
      <c r="X64"/>
      <c r="Y64" s="4"/>
      <c r="Z64"/>
      <c r="AA64" s="58">
        <f t="shared" si="45"/>
        <v>0</v>
      </c>
    </row>
    <row r="65" spans="2:27" ht="15" hidden="1" x14ac:dyDescent="0.35">
      <c r="B65" s="5"/>
      <c r="C65" t="s">
        <v>8</v>
      </c>
      <c r="E65" s="3" t="s">
        <v>52</v>
      </c>
      <c r="F65" s="3">
        <v>5100790</v>
      </c>
      <c r="G65" s="6">
        <v>193460.85</v>
      </c>
      <c r="H65" s="14" t="e">
        <f>+H63*0.0765+0.027*#REF!*7000</f>
        <v>#REF!</v>
      </c>
      <c r="I65" s="14" t="e">
        <f>+I63*0.0765+0.027*(#REF!+0)*7000</f>
        <v>#REF!</v>
      </c>
      <c r="J65" s="14" t="e">
        <f>+J63*0.0765+0.027*(#REF!+1)*7000*0</f>
        <v>#REF!</v>
      </c>
      <c r="K65" s="14" t="e">
        <f>+K63*0.0765+0.027*(#REF!+1)*7000*0</f>
        <v>#REF!</v>
      </c>
      <c r="L65" s="14" t="e">
        <f>+L63*0.0765+0.027*(#REF!+1)*7000*0</f>
        <v>#REF!</v>
      </c>
      <c r="M65" s="14" t="e">
        <f t="shared" si="3"/>
        <v>#REF!</v>
      </c>
      <c r="X65"/>
      <c r="Y65" s="8"/>
      <c r="Z65"/>
      <c r="AA65" s="56">
        <f t="shared" si="45"/>
        <v>0</v>
      </c>
    </row>
    <row r="66" spans="2:27" ht="25.5" hidden="1" x14ac:dyDescent="0.2">
      <c r="B66" s="5"/>
      <c r="C66" t="s">
        <v>9</v>
      </c>
      <c r="E66" s="23" t="str">
        <f>CONCATENATE("$",ins*2," per month per employee / 50% participation")</f>
        <v>$533.333333333333 per month per employee / 50% participation</v>
      </c>
      <c r="F66" s="3">
        <v>5100140</v>
      </c>
      <c r="G66" s="30"/>
      <c r="H66" s="14" t="e">
        <f>#REF!*ins*12</f>
        <v>#REF!</v>
      </c>
      <c r="I66" s="14" t="e">
        <f>(#REF!+0)*ins*12*Inf</f>
        <v>#REF!</v>
      </c>
      <c r="J66" s="14" t="e">
        <f>(#REF!+0)*ins*12*Inf^2</f>
        <v>#REF!</v>
      </c>
      <c r="K66" s="14" t="e">
        <f>(#REF!+0)*ins*12*Inf^3</f>
        <v>#REF!</v>
      </c>
      <c r="L66" s="14" t="e">
        <f>(#REF!+0)*ins*12*Inf^4</f>
        <v>#REF!</v>
      </c>
      <c r="M66" s="14" t="e">
        <f t="shared" si="3"/>
        <v>#REF!</v>
      </c>
      <c r="X66"/>
      <c r="Y66"/>
      <c r="Z66"/>
      <c r="AA66" s="57"/>
    </row>
    <row r="67" spans="2:27" ht="15" hidden="1" x14ac:dyDescent="0.35">
      <c r="B67" s="5"/>
      <c r="C67" t="s">
        <v>10</v>
      </c>
      <c r="E67" s="11" t="s">
        <v>53</v>
      </c>
      <c r="F67" s="26"/>
      <c r="G67" s="4"/>
      <c r="H67" s="4" t="e">
        <f>+H63*0.01</f>
        <v>#REF!</v>
      </c>
      <c r="I67" s="4" t="e">
        <f>+I63*0.01</f>
        <v>#REF!</v>
      </c>
      <c r="J67" s="4" t="e">
        <f>+J63*0.01</f>
        <v>#REF!</v>
      </c>
      <c r="K67" s="4" t="e">
        <f>+K63*0.01</f>
        <v>#REF!</v>
      </c>
      <c r="L67" s="4" t="e">
        <f>+L63*0.01</f>
        <v>#REF!</v>
      </c>
      <c r="M67" s="14" t="e">
        <f t="shared" si="3"/>
        <v>#REF!</v>
      </c>
      <c r="X67"/>
      <c r="Y67"/>
      <c r="Z67"/>
      <c r="AA67" s="57"/>
    </row>
    <row r="68" spans="2:27" ht="15" hidden="1" x14ac:dyDescent="0.35">
      <c r="B68" s="5"/>
      <c r="D68" s="5" t="s">
        <v>111</v>
      </c>
      <c r="F68" s="26"/>
      <c r="G68" s="30">
        <v>88000</v>
      </c>
      <c r="H68" s="6" t="e">
        <f>SUM(H64:H67)</f>
        <v>#REF!</v>
      </c>
      <c r="I68" s="6" t="e">
        <f>SUM(I64:I67)</f>
        <v>#REF!</v>
      </c>
      <c r="J68" s="6" t="e">
        <f>SUM(J64:J67)</f>
        <v>#REF!</v>
      </c>
      <c r="K68" s="6" t="e">
        <f>SUM(K64:K67)</f>
        <v>#REF!</v>
      </c>
      <c r="L68" s="6" t="e">
        <f>SUM(L64:L67)</f>
        <v>#REF!</v>
      </c>
      <c r="M68" s="14" t="e">
        <f t="shared" si="3"/>
        <v>#REF!</v>
      </c>
      <c r="X68"/>
      <c r="Y68" s="14"/>
      <c r="Z68"/>
      <c r="AA68" s="57">
        <f t="shared" si="45"/>
        <v>0</v>
      </c>
    </row>
    <row r="69" spans="2:27" ht="15" hidden="1" x14ac:dyDescent="0.35">
      <c r="B69" s="5"/>
      <c r="C69" t="s">
        <v>13</v>
      </c>
      <c r="E69" s="3" t="s">
        <v>213</v>
      </c>
      <c r="G69" s="4">
        <v>57285</v>
      </c>
      <c r="H69" s="4">
        <f>10*H$7*0</f>
        <v>0</v>
      </c>
      <c r="I69" s="4" t="e">
        <f>10*I$7*Inf*0</f>
        <v>#REF!</v>
      </c>
      <c r="J69" s="4" t="e">
        <f>10*J$7*Inf^2*0</f>
        <v>#REF!</v>
      </c>
      <c r="K69" s="4" t="e">
        <f>10*K$7*Inf^3*0</f>
        <v>#REF!</v>
      </c>
      <c r="L69" s="4" t="e">
        <f>10*L$7*Inf^4*0</f>
        <v>#REF!</v>
      </c>
      <c r="M69" s="14" t="e">
        <f t="shared" si="3"/>
        <v>#REF!</v>
      </c>
      <c r="X69"/>
      <c r="Y69" s="4"/>
      <c r="Z69"/>
      <c r="AA69" s="58">
        <f t="shared" si="45"/>
        <v>0</v>
      </c>
    </row>
    <row r="70" spans="2:27" ht="15" hidden="1" x14ac:dyDescent="0.35">
      <c r="B70" s="5"/>
      <c r="D70" s="5" t="s">
        <v>112</v>
      </c>
      <c r="F70" s="3">
        <v>7100</v>
      </c>
      <c r="G70" s="6">
        <v>145285</v>
      </c>
      <c r="H70" s="6">
        <f>SUM(H69)</f>
        <v>0</v>
      </c>
      <c r="I70" s="6" t="e">
        <f>SUM(I69)</f>
        <v>#REF!</v>
      </c>
      <c r="J70" s="6" t="e">
        <f>SUM(J69)</f>
        <v>#REF!</v>
      </c>
      <c r="K70" s="6" t="e">
        <f>SUM(K69)</f>
        <v>#REF!</v>
      </c>
      <c r="L70" s="6" t="e">
        <f>SUM(L69)</f>
        <v>#REF!</v>
      </c>
      <c r="M70" s="14" t="e">
        <f t="shared" si="3"/>
        <v>#REF!</v>
      </c>
      <c r="X70"/>
      <c r="Y70" s="8"/>
      <c r="Z70"/>
      <c r="AA70" s="56">
        <f t="shared" si="45"/>
        <v>0</v>
      </c>
    </row>
    <row r="71" spans="2:27" ht="15" hidden="1" x14ac:dyDescent="0.35">
      <c r="B71" s="5" t="s">
        <v>84</v>
      </c>
      <c r="F71" s="3">
        <v>7100310</v>
      </c>
      <c r="G71" s="8"/>
      <c r="H71" s="6" t="e">
        <f>+H63+H68+H70</f>
        <v>#REF!</v>
      </c>
      <c r="I71" s="6" t="e">
        <f>+I63+I68+I70</f>
        <v>#REF!</v>
      </c>
      <c r="J71" s="6" t="e">
        <f>+J63+J68+J70</f>
        <v>#REF!</v>
      </c>
      <c r="K71" s="6" t="e">
        <f>+K63+K68+K70</f>
        <v>#REF!</v>
      </c>
      <c r="L71" s="6" t="e">
        <f>+L63+L68+L70</f>
        <v>#REF!</v>
      </c>
      <c r="M71" s="14" t="e">
        <f t="shared" si="3"/>
        <v>#REF!</v>
      </c>
      <c r="X71"/>
      <c r="Y71" s="1"/>
      <c r="Z71"/>
      <c r="AA71" s="57">
        <f t="shared" si="45"/>
        <v>0</v>
      </c>
    </row>
    <row r="72" spans="2:27" ht="15" hidden="1" x14ac:dyDescent="0.35">
      <c r="B72" s="5"/>
      <c r="F72" s="3">
        <v>7100315</v>
      </c>
      <c r="G72" s="14">
        <v>10885</v>
      </c>
      <c r="H72" s="6"/>
      <c r="I72" s="6"/>
      <c r="J72" s="6"/>
      <c r="K72" s="6"/>
      <c r="L72" s="6"/>
      <c r="M72" s="14" t="e">
        <f>IF(M71="*","*","")</f>
        <v>#REF!</v>
      </c>
      <c r="X72"/>
      <c r="Y72" s="14"/>
      <c r="Z72"/>
      <c r="AA72" s="57">
        <f t="shared" si="45"/>
        <v>0</v>
      </c>
    </row>
    <row r="73" spans="2:27" hidden="1" x14ac:dyDescent="0.2">
      <c r="B73" s="5" t="s">
        <v>117</v>
      </c>
      <c r="F73" s="3">
        <v>7100310</v>
      </c>
      <c r="G73" s="14">
        <v>15000</v>
      </c>
      <c r="M73" s="21" t="e">
        <f>IF(M86="*","*","")</f>
        <v>#REF!</v>
      </c>
      <c r="X73"/>
      <c r="Y73" s="14"/>
      <c r="Z73"/>
      <c r="AA73" s="57">
        <f t="shared" si="45"/>
        <v>0</v>
      </c>
    </row>
    <row r="74" spans="2:27" hidden="1" x14ac:dyDescent="0.2">
      <c r="B74" s="5"/>
      <c r="C74" t="s">
        <v>118</v>
      </c>
      <c r="E74" s="3" t="s">
        <v>210</v>
      </c>
      <c r="F74" s="3">
        <v>7100330</v>
      </c>
      <c r="G74" s="30">
        <v>811</v>
      </c>
      <c r="H74" s="14" t="e">
        <f>+#REF!</f>
        <v>#REF!</v>
      </c>
      <c r="I74" s="14" t="e">
        <f>+H74*Inf</f>
        <v>#REF!</v>
      </c>
      <c r="J74" s="14" t="e">
        <f>+I74*Inf</f>
        <v>#REF!</v>
      </c>
      <c r="K74" s="14" t="e">
        <f>+J74*Inf</f>
        <v>#REF!</v>
      </c>
      <c r="L74" s="14" t="e">
        <f>+K74*Inf</f>
        <v>#REF!</v>
      </c>
      <c r="M74" s="14" t="e">
        <f t="shared" si="3"/>
        <v>#REF!</v>
      </c>
      <c r="X74"/>
      <c r="Y74" s="30"/>
      <c r="Z74"/>
      <c r="AA74" s="57">
        <f t="shared" si="45"/>
        <v>0</v>
      </c>
    </row>
    <row r="75" spans="2:27" ht="15" hidden="1" x14ac:dyDescent="0.35">
      <c r="B75" s="5"/>
      <c r="C75" t="s">
        <v>199</v>
      </c>
      <c r="E75" s="3" t="s">
        <v>223</v>
      </c>
      <c r="F75" s="3">
        <v>7100320</v>
      </c>
      <c r="G75" s="4">
        <v>567</v>
      </c>
      <c r="H75" s="4" t="e">
        <f>+#REF!</f>
        <v>#REF!</v>
      </c>
      <c r="I75" s="4" t="e">
        <f>+H75*2*Inf</f>
        <v>#REF!</v>
      </c>
      <c r="J75" s="4" t="e">
        <f>+I75*Inf</f>
        <v>#REF!</v>
      </c>
      <c r="K75" s="4" t="e">
        <f>+J75*Inf</f>
        <v>#REF!</v>
      </c>
      <c r="L75" s="4" t="e">
        <f>+K75*Inf</f>
        <v>#REF!</v>
      </c>
      <c r="M75" s="14" t="e">
        <f t="shared" si="3"/>
        <v>#REF!</v>
      </c>
      <c r="X75"/>
      <c r="Y75" s="4"/>
      <c r="Z75"/>
      <c r="AA75" s="58">
        <f t="shared" si="45"/>
        <v>0</v>
      </c>
    </row>
    <row r="76" spans="2:27" ht="15" hidden="1" x14ac:dyDescent="0.35">
      <c r="B76" s="5"/>
      <c r="D76" s="5" t="s">
        <v>121</v>
      </c>
      <c r="F76" s="4"/>
      <c r="G76" s="6">
        <v>27263</v>
      </c>
      <c r="H76" s="6" t="e">
        <f>SUM(H74:H75)</f>
        <v>#REF!</v>
      </c>
      <c r="I76" s="6" t="e">
        <f>SUM(I74:I75)</f>
        <v>#REF!</v>
      </c>
      <c r="J76" s="6" t="e">
        <f>SUM(J74:J75)</f>
        <v>#REF!</v>
      </c>
      <c r="K76" s="6" t="e">
        <f>SUM(K74:K75)</f>
        <v>#REF!</v>
      </c>
      <c r="L76" s="6" t="e">
        <f>SUM(L74:L75)</f>
        <v>#REF!</v>
      </c>
      <c r="M76" s="14" t="e">
        <f t="shared" si="3"/>
        <v>#REF!</v>
      </c>
      <c r="X76"/>
      <c r="Y76" s="8"/>
      <c r="Z76"/>
      <c r="AA76" s="56">
        <f t="shared" si="45"/>
        <v>0</v>
      </c>
    </row>
    <row r="77" spans="2:27" hidden="1" x14ac:dyDescent="0.2">
      <c r="B77" s="5"/>
      <c r="C77" t="s">
        <v>7</v>
      </c>
      <c r="E77" s="22">
        <v>1.4999999999999999E-2</v>
      </c>
      <c r="F77" s="26"/>
      <c r="G77" s="14">
        <v>1250</v>
      </c>
      <c r="H77" s="14" t="e">
        <f>+H76*0.015</f>
        <v>#REF!</v>
      </c>
      <c r="I77" s="14" t="e">
        <f>+I76*0.015</f>
        <v>#REF!</v>
      </c>
      <c r="J77" s="14" t="e">
        <f>+J76*0.015</f>
        <v>#REF!</v>
      </c>
      <c r="K77" s="14" t="e">
        <f>+K76*0.015</f>
        <v>#REF!</v>
      </c>
      <c r="L77" s="14" t="e">
        <f>+L76*0.015</f>
        <v>#REF!</v>
      </c>
      <c r="M77" s="14" t="e">
        <f t="shared" si="3"/>
        <v>#REF!</v>
      </c>
      <c r="X77"/>
      <c r="Y77" s="14"/>
      <c r="Z77"/>
      <c r="AA77" s="57">
        <f t="shared" si="45"/>
        <v>0</v>
      </c>
    </row>
    <row r="78" spans="2:27" hidden="1" x14ac:dyDescent="0.2">
      <c r="B78" s="5"/>
      <c r="C78" t="s">
        <v>8</v>
      </c>
      <c r="E78" s="3" t="s">
        <v>52</v>
      </c>
      <c r="G78" s="14">
        <v>0</v>
      </c>
      <c r="H78" s="14" t="e">
        <f>+H76*0.0765+0.027*#REF!*7000</f>
        <v>#REF!</v>
      </c>
      <c r="I78" s="14" t="e">
        <f>+I76*0.0765+0.027*(#REF!+0)*7000</f>
        <v>#REF!</v>
      </c>
      <c r="J78" s="14" t="e">
        <f>+J76*0.0765+0.027*(#REF!+0)*7000</f>
        <v>#REF!</v>
      </c>
      <c r="K78" s="14" t="e">
        <f>+K76*0.0765+0.027*(#REF!+0)*7000</f>
        <v>#REF!</v>
      </c>
      <c r="L78" s="14" t="e">
        <f>+L76*0.0765+0.027*(#REF!+0)*7000</f>
        <v>#REF!</v>
      </c>
      <c r="M78" s="14" t="e">
        <f t="shared" si="3"/>
        <v>#REF!</v>
      </c>
      <c r="X78"/>
      <c r="Y78" s="14"/>
      <c r="Z78"/>
      <c r="AA78" s="57">
        <f t="shared" si="45"/>
        <v>0</v>
      </c>
    </row>
    <row r="79" spans="2:27" ht="25.5" hidden="1" x14ac:dyDescent="0.2">
      <c r="B79" s="5"/>
      <c r="C79" t="s">
        <v>9</v>
      </c>
      <c r="E79" s="23" t="str">
        <f>CONCATENATE("$",ins*2," per month per employee / 50% participation")</f>
        <v>$533.333333333333 per month per employee / 50% participation</v>
      </c>
      <c r="F79" s="3">
        <v>7300</v>
      </c>
      <c r="G79" s="30">
        <v>1500</v>
      </c>
      <c r="H79" s="14" t="e">
        <f>#REF!*ins*12</f>
        <v>#REF!</v>
      </c>
      <c r="I79" s="14" t="e">
        <f>(#REF!+0)*ins*12*Inf</f>
        <v>#REF!</v>
      </c>
      <c r="J79" s="14" t="e">
        <f>(#REF!+0)*ins*12*Inf^2</f>
        <v>#REF!</v>
      </c>
      <c r="K79" s="14" t="e">
        <f>(#REF!+0)*ins*12*Inf^3</f>
        <v>#REF!</v>
      </c>
      <c r="L79" s="14" t="e">
        <f>(#REF!+0)*ins*12*Inf^4</f>
        <v>#REF!</v>
      </c>
      <c r="M79" s="14" t="e">
        <f t="shared" si="3"/>
        <v>#REF!</v>
      </c>
      <c r="X79"/>
      <c r="Y79" s="30"/>
      <c r="Z79"/>
      <c r="AA79" s="57">
        <f t="shared" si="45"/>
        <v>0</v>
      </c>
    </row>
    <row r="80" spans="2:27" ht="15" hidden="1" x14ac:dyDescent="0.35">
      <c r="B80" s="5"/>
      <c r="C80" t="s">
        <v>10</v>
      </c>
      <c r="E80" s="11" t="s">
        <v>53</v>
      </c>
      <c r="F80" s="3">
        <v>7300110</v>
      </c>
      <c r="G80" s="30">
        <v>3000</v>
      </c>
      <c r="H80" s="4" t="e">
        <f>+H76*0.01</f>
        <v>#REF!</v>
      </c>
      <c r="I80" s="4" t="e">
        <f>+I76*0.01</f>
        <v>#REF!</v>
      </c>
      <c r="J80" s="4" t="e">
        <f>+J76*0.01</f>
        <v>#REF!</v>
      </c>
      <c r="K80" s="4" t="e">
        <f>+K76*0.01</f>
        <v>#REF!</v>
      </c>
      <c r="L80" s="4" t="e">
        <f>+L76*0.01</f>
        <v>#REF!</v>
      </c>
      <c r="M80" s="14" t="e">
        <f t="shared" si="3"/>
        <v>#REF!</v>
      </c>
      <c r="X80"/>
      <c r="Y80" s="30"/>
      <c r="Z80"/>
      <c r="AA80" s="57">
        <f t="shared" si="45"/>
        <v>0</v>
      </c>
    </row>
    <row r="81" spans="2:29" ht="15" hidden="1" x14ac:dyDescent="0.35">
      <c r="B81" s="5"/>
      <c r="D81" s="5" t="s">
        <v>122</v>
      </c>
      <c r="F81" s="3">
        <v>7300160</v>
      </c>
      <c r="G81" s="8">
        <v>0</v>
      </c>
      <c r="H81" s="6" t="e">
        <f>SUM(H77:H80)</f>
        <v>#REF!</v>
      </c>
      <c r="I81" s="6" t="e">
        <f>SUM(I77:I80)</f>
        <v>#REF!</v>
      </c>
      <c r="J81" s="6" t="e">
        <f>SUM(J77:J80)</f>
        <v>#REF!</v>
      </c>
      <c r="K81" s="6" t="e">
        <f>SUM(K77:K80)</f>
        <v>#REF!</v>
      </c>
      <c r="L81" s="6" t="e">
        <f>SUM(L77:L80)</f>
        <v>#REF!</v>
      </c>
      <c r="M81" s="14" t="e">
        <f t="shared" si="3"/>
        <v>#REF!</v>
      </c>
      <c r="X81"/>
      <c r="Y81" s="8"/>
      <c r="Z81"/>
      <c r="AA81" s="57">
        <f t="shared" si="45"/>
        <v>0</v>
      </c>
    </row>
    <row r="82" spans="2:29" hidden="1" x14ac:dyDescent="0.2">
      <c r="B82" s="5"/>
      <c r="C82" t="s">
        <v>13</v>
      </c>
      <c r="D82" s="5"/>
      <c r="E82" s="3" t="s">
        <v>213</v>
      </c>
      <c r="F82" s="26"/>
      <c r="G82" s="14">
        <v>3000</v>
      </c>
      <c r="H82" s="14">
        <f>10*H$7*0</f>
        <v>0</v>
      </c>
      <c r="I82" s="14" t="e">
        <f>10*I$7*Inf*0</f>
        <v>#REF!</v>
      </c>
      <c r="J82" s="14" t="e">
        <f>10*J$7*Inf^2*0</f>
        <v>#REF!</v>
      </c>
      <c r="K82" s="14" t="e">
        <f>10*K$7*Inf^3*0</f>
        <v>#REF!</v>
      </c>
      <c r="L82" s="14" t="e">
        <f>10*L$7*Inf^4*0</f>
        <v>#REF!</v>
      </c>
      <c r="M82" s="14" t="e">
        <f t="shared" si="3"/>
        <v>#REF!</v>
      </c>
      <c r="X82"/>
      <c r="Y82" s="14"/>
      <c r="Z82"/>
      <c r="AA82" s="57">
        <f t="shared" si="45"/>
        <v>0</v>
      </c>
    </row>
    <row r="83" spans="2:29" hidden="1" x14ac:dyDescent="0.2">
      <c r="B83" s="5"/>
      <c r="C83" t="s">
        <v>120</v>
      </c>
      <c r="D83" s="5"/>
      <c r="E83" s="3" t="s">
        <v>238</v>
      </c>
      <c r="F83" s="3">
        <v>7300110</v>
      </c>
      <c r="G83" s="14">
        <v>0</v>
      </c>
      <c r="H83" s="14">
        <f>3*H7*0</f>
        <v>0</v>
      </c>
      <c r="I83" s="14" t="e">
        <f>3*I7*Inf*0</f>
        <v>#REF!</v>
      </c>
      <c r="J83" s="14" t="e">
        <f>3*J7*Inf^2*0</f>
        <v>#REF!</v>
      </c>
      <c r="K83" s="14" t="e">
        <f>3*K7*Inf^3*0</f>
        <v>#REF!</v>
      </c>
      <c r="L83" s="14" t="e">
        <f>3*L7*Inf^4*0</f>
        <v>#REF!</v>
      </c>
      <c r="M83" s="14" t="e">
        <f t="shared" si="3"/>
        <v>#REF!</v>
      </c>
      <c r="X83"/>
      <c r="Y83" s="14"/>
      <c r="Z83"/>
      <c r="AA83" s="57">
        <f t="shared" si="45"/>
        <v>0</v>
      </c>
    </row>
    <row r="84" spans="2:29" ht="15" hidden="1" x14ac:dyDescent="0.35">
      <c r="B84" s="5"/>
      <c r="C84" t="s">
        <v>244</v>
      </c>
      <c r="E84" s="3" t="s">
        <v>213</v>
      </c>
      <c r="F84" s="3">
        <v>7300110</v>
      </c>
      <c r="G84" s="4">
        <v>1000</v>
      </c>
      <c r="H84" s="4">
        <f>10*H7*0</f>
        <v>0</v>
      </c>
      <c r="I84" s="4" t="e">
        <f>10*I7*Inf*0</f>
        <v>#REF!</v>
      </c>
      <c r="J84" s="4" t="e">
        <f>10*J7*Inf^2*0</f>
        <v>#REF!</v>
      </c>
      <c r="K84" s="4" t="e">
        <f>10*K7*Inf^3*0</f>
        <v>#REF!</v>
      </c>
      <c r="L84" s="4" t="e">
        <f>10*L7*Inf^4*0</f>
        <v>#REF!</v>
      </c>
      <c r="M84" s="14" t="e">
        <f t="shared" si="3"/>
        <v>#REF!</v>
      </c>
      <c r="X84"/>
      <c r="Y84" s="4"/>
      <c r="Z84"/>
      <c r="AA84" s="58">
        <f t="shared" si="45"/>
        <v>0</v>
      </c>
    </row>
    <row r="85" spans="2:29" ht="15" hidden="1" x14ac:dyDescent="0.35">
      <c r="B85" s="5"/>
      <c r="D85" s="5" t="s">
        <v>123</v>
      </c>
      <c r="F85" s="3">
        <v>7300110</v>
      </c>
      <c r="G85" s="6">
        <v>9750</v>
      </c>
      <c r="H85" s="6">
        <f>SUM(H82:H84)</f>
        <v>0</v>
      </c>
      <c r="I85" s="6" t="e">
        <f>SUM(I82:I84)</f>
        <v>#REF!</v>
      </c>
      <c r="J85" s="6" t="e">
        <f>SUM(J82:J84)</f>
        <v>#REF!</v>
      </c>
      <c r="K85" s="6" t="e">
        <f>SUM(K82:K84)</f>
        <v>#REF!</v>
      </c>
      <c r="L85" s="6" t="e">
        <f>SUM(L82:L84)</f>
        <v>#REF!</v>
      </c>
      <c r="M85" s="14" t="e">
        <f t="shared" si="3"/>
        <v>#REF!</v>
      </c>
      <c r="X85"/>
      <c r="Y85" s="6"/>
      <c r="Z85"/>
      <c r="AA85" s="59">
        <f t="shared" si="45"/>
        <v>0</v>
      </c>
    </row>
    <row r="86" spans="2:29" ht="15" hidden="1" x14ac:dyDescent="0.35">
      <c r="B86" s="5" t="s">
        <v>124</v>
      </c>
      <c r="F86" s="3">
        <v>7300110</v>
      </c>
      <c r="G86" s="6">
        <v>182298</v>
      </c>
      <c r="H86" s="6" t="e">
        <f>+H76+H81+H85</f>
        <v>#REF!</v>
      </c>
      <c r="I86" s="6" t="e">
        <f>+I76+I81+I85</f>
        <v>#REF!</v>
      </c>
      <c r="J86" s="6" t="e">
        <f>+J76+J81+J85</f>
        <v>#REF!</v>
      </c>
      <c r="K86" s="6" t="e">
        <f>+K76+K81+K85</f>
        <v>#REF!</v>
      </c>
      <c r="L86" s="6" t="e">
        <f>+L76+L81+L85</f>
        <v>#REF!</v>
      </c>
      <c r="M86" s="14" t="e">
        <f t="shared" si="3"/>
        <v>#REF!</v>
      </c>
      <c r="X86"/>
      <c r="Y86" s="6"/>
      <c r="Z86"/>
      <c r="AA86" s="64">
        <f t="shared" si="45"/>
        <v>0</v>
      </c>
    </row>
    <row r="87" spans="2:29" ht="15" hidden="1" x14ac:dyDescent="0.35">
      <c r="F87" s="26"/>
      <c r="G87" s="4"/>
      <c r="M87" s="14" t="e">
        <f>IF(M86="*","*","")</f>
        <v>#REF!</v>
      </c>
      <c r="X87"/>
      <c r="Y87"/>
      <c r="Z87"/>
      <c r="AA87" s="57"/>
    </row>
    <row r="88" spans="2:29" ht="15" hidden="1" x14ac:dyDescent="0.35">
      <c r="B88" s="5" t="s">
        <v>91</v>
      </c>
      <c r="F88" s="3">
        <v>7300330</v>
      </c>
      <c r="G88" s="6"/>
      <c r="K88"/>
      <c r="L88"/>
      <c r="M88" s="21" t="str">
        <f>IF(M89="*","*","")</f>
        <v/>
      </c>
      <c r="X88"/>
      <c r="Y88"/>
      <c r="Z88"/>
      <c r="AA88" s="57"/>
    </row>
    <row r="89" spans="2:29" ht="15" hidden="1" x14ac:dyDescent="0.35">
      <c r="C89" s="5" t="s">
        <v>11</v>
      </c>
      <c r="D89" s="5"/>
      <c r="E89" s="3" t="s">
        <v>211</v>
      </c>
      <c r="F89" s="3">
        <v>7300360</v>
      </c>
      <c r="G89" s="30">
        <v>319596</v>
      </c>
      <c r="H89" s="6">
        <v>0</v>
      </c>
      <c r="I89" s="6">
        <f>+H89*Inf*0</f>
        <v>0</v>
      </c>
      <c r="J89" s="6">
        <f>+I89*Inf</f>
        <v>0</v>
      </c>
      <c r="K89" s="6">
        <f>+J89*Inf</f>
        <v>0</v>
      </c>
      <c r="L89" s="6">
        <f>+K89*Inf</f>
        <v>0</v>
      </c>
      <c r="M89" s="14" t="str">
        <f t="shared" si="3"/>
        <v/>
      </c>
      <c r="X89"/>
      <c r="Y89" s="17"/>
      <c r="Z89"/>
      <c r="AA89" s="57">
        <f t="shared" si="45"/>
        <v>0</v>
      </c>
    </row>
    <row r="90" spans="2:29" ht="15" hidden="1" x14ac:dyDescent="0.35">
      <c r="E90"/>
      <c r="F90" s="3">
        <v>7300371</v>
      </c>
      <c r="G90" s="6">
        <v>0</v>
      </c>
      <c r="H90"/>
      <c r="I90"/>
      <c r="J90"/>
      <c r="K90"/>
      <c r="L90"/>
      <c r="M90" s="14" t="str">
        <f>IF(M89="*","*","")</f>
        <v/>
      </c>
      <c r="X90"/>
      <c r="Y90" s="34"/>
      <c r="Z90"/>
      <c r="AA90" s="58">
        <f t="shared" si="45"/>
        <v>0</v>
      </c>
    </row>
    <row r="91" spans="2:29" ht="15" hidden="1" x14ac:dyDescent="0.35">
      <c r="B91" s="5" t="s">
        <v>19</v>
      </c>
      <c r="F91" s="3">
        <v>7300391</v>
      </c>
      <c r="G91" s="6">
        <v>319596</v>
      </c>
      <c r="M91" s="21" t="str">
        <f>IF(M92="*","*","")</f>
        <v/>
      </c>
      <c r="X91"/>
      <c r="Y91" s="6"/>
      <c r="Z91"/>
      <c r="AA91" s="59">
        <f t="shared" si="45"/>
        <v>0</v>
      </c>
    </row>
    <row r="92" spans="2:29" ht="15" hidden="1" x14ac:dyDescent="0.35">
      <c r="C92" s="5" t="s">
        <v>11</v>
      </c>
      <c r="D92" s="5"/>
      <c r="E92" s="3" t="s">
        <v>211</v>
      </c>
      <c r="F92" s="3">
        <v>7300330</v>
      </c>
      <c r="G92" s="6"/>
      <c r="H92" s="6">
        <v>0</v>
      </c>
      <c r="I92" s="6">
        <f>+H92*Inf</f>
        <v>0</v>
      </c>
      <c r="J92" s="6">
        <f>+I92*Inf</f>
        <v>0</v>
      </c>
      <c r="K92" s="6">
        <f>+J92*Inf</f>
        <v>0</v>
      </c>
      <c r="L92" s="6">
        <f>+K92*Inf</f>
        <v>0</v>
      </c>
      <c r="M92" s="14" t="str">
        <f t="shared" si="3"/>
        <v/>
      </c>
      <c r="X92"/>
      <c r="Y92"/>
      <c r="Z92"/>
      <c r="AA92" s="57"/>
    </row>
    <row r="93" spans="2:29" hidden="1" x14ac:dyDescent="0.2">
      <c r="F93" s="3">
        <v>7300510</v>
      </c>
      <c r="G93" s="8"/>
      <c r="M93" s="14" t="str">
        <f>IF(M92="*","*","")</f>
        <v/>
      </c>
      <c r="X93"/>
      <c r="Y93" s="30"/>
      <c r="Z93"/>
      <c r="AA93" s="57"/>
    </row>
    <row r="94" spans="2:29" x14ac:dyDescent="0.2">
      <c r="B94" s="5" t="s">
        <v>266</v>
      </c>
      <c r="F94" s="3">
        <v>5200</v>
      </c>
      <c r="G94" s="30"/>
      <c r="M94" s="14"/>
      <c r="P94" s="1"/>
      <c r="Q94" s="1"/>
      <c r="R94" s="1"/>
      <c r="S94" s="1"/>
      <c r="T94" s="1"/>
      <c r="U94" s="1"/>
      <c r="V94" s="1"/>
      <c r="W94" s="1"/>
      <c r="Y94" s="71"/>
      <c r="AA94" s="57"/>
    </row>
    <row r="95" spans="2:29" ht="15" x14ac:dyDescent="0.35">
      <c r="B95" s="5"/>
      <c r="C95" s="29" t="s">
        <v>267</v>
      </c>
      <c r="F95" s="3">
        <v>5200120</v>
      </c>
      <c r="G95" s="4">
        <v>27875</v>
      </c>
      <c r="H95" s="4">
        <v>23412</v>
      </c>
      <c r="I95" s="4" t="e">
        <f>#REF!</f>
        <v>#REF!</v>
      </c>
      <c r="J95" s="4" t="e">
        <f>#REF!</f>
        <v>#REF!</v>
      </c>
      <c r="K95" s="4" t="e">
        <f>#REF!</f>
        <v>#REF!</v>
      </c>
      <c r="L95" s="4" t="e">
        <f>#REF!</f>
        <v>#REF!</v>
      </c>
      <c r="M95" s="4" t="e">
        <f>#REF!</f>
        <v>#REF!</v>
      </c>
      <c r="N95" s="4" t="e">
        <f>#REF!</f>
        <v>#REF!</v>
      </c>
      <c r="O95" s="34">
        <v>74268</v>
      </c>
      <c r="P95" s="34">
        <f t="shared" ref="P95:W95" si="46">O95*1.01</f>
        <v>75010.680000000008</v>
      </c>
      <c r="Q95" s="34">
        <f t="shared" si="46"/>
        <v>75760.786800000002</v>
      </c>
      <c r="R95" s="34">
        <f t="shared" si="46"/>
        <v>76518.394668000008</v>
      </c>
      <c r="S95" s="34">
        <f t="shared" si="46"/>
        <v>77283.578614680009</v>
      </c>
      <c r="T95" s="34">
        <f t="shared" si="46"/>
        <v>78056.414400826805</v>
      </c>
      <c r="U95" s="34">
        <f t="shared" si="46"/>
        <v>78836.978544835074</v>
      </c>
      <c r="V95" s="34">
        <f t="shared" si="46"/>
        <v>79625.348330283421</v>
      </c>
      <c r="W95" s="34">
        <f t="shared" si="46"/>
        <v>80421.601813586254</v>
      </c>
      <c r="X95" s="42">
        <f>O95/12</f>
        <v>6189</v>
      </c>
      <c r="Y95" s="62">
        <f t="shared" ref="Y95:Y105" si="47">+O95/$O$17</f>
        <v>1.404862502496928E-2</v>
      </c>
      <c r="Z95" s="4">
        <f>Salaries!E11</f>
        <v>76000</v>
      </c>
      <c r="AA95" s="69">
        <f t="shared" ref="AA95:AA105" si="48">+Z95/Z$17</f>
        <v>1.3578903793890132E-2</v>
      </c>
      <c r="AB95" s="36" t="s">
        <v>312</v>
      </c>
    </row>
    <row r="96" spans="2:29" ht="15" x14ac:dyDescent="0.35">
      <c r="B96" s="5"/>
      <c r="C96" s="29"/>
      <c r="D96" s="5" t="s">
        <v>268</v>
      </c>
      <c r="G96" s="14">
        <f t="shared" ref="G96:N96" si="49">SUBTOTAL(9,G95)</f>
        <v>27875</v>
      </c>
      <c r="H96" s="14">
        <f>SUBTOTAL(9,H95)</f>
        <v>23412</v>
      </c>
      <c r="I96" s="14" t="e">
        <f t="shared" si="49"/>
        <v>#REF!</v>
      </c>
      <c r="J96" s="14" t="e">
        <f t="shared" si="49"/>
        <v>#REF!</v>
      </c>
      <c r="K96" s="14" t="e">
        <f t="shared" si="49"/>
        <v>#REF!</v>
      </c>
      <c r="L96" s="14" t="e">
        <f t="shared" si="49"/>
        <v>#REF!</v>
      </c>
      <c r="M96" s="14" t="e">
        <f t="shared" si="49"/>
        <v>#REF!</v>
      </c>
      <c r="N96" s="14" t="e">
        <f t="shared" si="49"/>
        <v>#REF!</v>
      </c>
      <c r="O96" s="8">
        <f t="shared" ref="O96:X96" si="50">SUBTOTAL(9,O95)</f>
        <v>74268</v>
      </c>
      <c r="P96" s="14">
        <f t="shared" si="50"/>
        <v>75010.680000000008</v>
      </c>
      <c r="Q96" s="14">
        <f t="shared" si="50"/>
        <v>75760.786800000002</v>
      </c>
      <c r="R96" s="14">
        <f t="shared" si="50"/>
        <v>76518.394668000008</v>
      </c>
      <c r="S96" s="14">
        <f t="shared" si="50"/>
        <v>77283.578614680009</v>
      </c>
      <c r="T96" s="14">
        <f t="shared" si="50"/>
        <v>78056.414400826805</v>
      </c>
      <c r="U96" s="14">
        <f t="shared" si="50"/>
        <v>78836.978544835074</v>
      </c>
      <c r="V96" s="14">
        <f t="shared" si="50"/>
        <v>79625.348330283421</v>
      </c>
      <c r="W96" s="14">
        <f t="shared" si="50"/>
        <v>80421.601813586254</v>
      </c>
      <c r="X96" s="14">
        <f t="shared" si="50"/>
        <v>6189</v>
      </c>
      <c r="Y96" s="56">
        <f t="shared" si="47"/>
        <v>1.404862502496928E-2</v>
      </c>
      <c r="Z96" s="6">
        <f>SUBTOTAL(9,Z95)</f>
        <v>76000</v>
      </c>
      <c r="AA96" s="8">
        <f t="shared" ref="AA96:AC96" si="51">SUBTOTAL(9,AA95)</f>
        <v>1.3578903793890132E-2</v>
      </c>
      <c r="AB96" s="8">
        <f t="shared" si="51"/>
        <v>0</v>
      </c>
      <c r="AC96" s="8">
        <f t="shared" si="51"/>
        <v>0</v>
      </c>
    </row>
    <row r="97" spans="2:28" ht="15" x14ac:dyDescent="0.35">
      <c r="B97" s="5"/>
      <c r="C97" t="s">
        <v>7</v>
      </c>
      <c r="F97" s="3">
        <v>5200210</v>
      </c>
      <c r="G97" s="6"/>
      <c r="H97" s="14">
        <v>702</v>
      </c>
      <c r="M97" s="14"/>
      <c r="O97" s="1">
        <v>0</v>
      </c>
      <c r="P97" s="1">
        <f t="shared" ref="P97:Q97" si="52">P96*0.015</f>
        <v>1125.1602</v>
      </c>
      <c r="Q97" s="1">
        <f t="shared" si="52"/>
        <v>1136.4118020000001</v>
      </c>
      <c r="R97" s="1">
        <f t="shared" ref="R97" si="53">R96*0.015</f>
        <v>1147.7759200200001</v>
      </c>
      <c r="S97" s="1">
        <f t="shared" ref="S97" si="54">S96*0.015</f>
        <v>1159.2536792202002</v>
      </c>
      <c r="T97" s="40">
        <f t="shared" ref="T97" si="55">T96*0.015</f>
        <v>1170.846216012402</v>
      </c>
      <c r="U97" s="40">
        <f t="shared" ref="U97" si="56">U96*0.015</f>
        <v>1182.5546781725261</v>
      </c>
      <c r="V97" s="40">
        <f t="shared" ref="V97" si="57">V96*0.015</f>
        <v>1194.3802249542512</v>
      </c>
      <c r="W97" s="40">
        <f t="shared" ref="W97" si="58">W96*0.015</f>
        <v>1206.3240272037938</v>
      </c>
      <c r="X97" s="42">
        <f t="shared" ref="X97:X101" si="59">O97/12</f>
        <v>0</v>
      </c>
      <c r="Y97" s="57">
        <f t="shared" si="47"/>
        <v>0</v>
      </c>
      <c r="Z97" s="1">
        <f>500*2</f>
        <v>1000</v>
      </c>
      <c r="AA97" s="57">
        <f t="shared" si="48"/>
        <v>1.7866978676171226E-4</v>
      </c>
      <c r="AB97" t="s">
        <v>315</v>
      </c>
    </row>
    <row r="98" spans="2:28" x14ac:dyDescent="0.2">
      <c r="B98" s="5"/>
      <c r="C98" t="s">
        <v>8</v>
      </c>
      <c r="F98" s="3">
        <v>5200220</v>
      </c>
      <c r="G98" s="14">
        <f>+G96*0.0765</f>
        <v>2132.4375</v>
      </c>
      <c r="H98" s="14">
        <f>+H96*0.0765</f>
        <v>1791.018</v>
      </c>
      <c r="M98" s="14"/>
      <c r="O98" s="14">
        <f>+O96*0.0765</f>
        <v>5681.5019999999995</v>
      </c>
      <c r="P98" s="14">
        <f>+P96*0.0765</f>
        <v>5738.3170200000004</v>
      </c>
      <c r="Q98" s="14">
        <f>+Q96*0.0765</f>
        <v>5795.7001902000002</v>
      </c>
      <c r="R98" s="14">
        <f t="shared" ref="R98:W98" si="60">+R96*0.0765</f>
        <v>5853.6571921020004</v>
      </c>
      <c r="S98" s="14">
        <f t="shared" si="60"/>
        <v>5912.1937640230208</v>
      </c>
      <c r="T98" s="14">
        <f t="shared" si="60"/>
        <v>5971.3157016632504</v>
      </c>
      <c r="U98" s="14">
        <f t="shared" si="60"/>
        <v>6031.0288586798833</v>
      </c>
      <c r="V98" s="14">
        <f t="shared" si="60"/>
        <v>6091.3391472666817</v>
      </c>
      <c r="W98" s="14">
        <f t="shared" si="60"/>
        <v>6152.252538739348</v>
      </c>
      <c r="X98" s="42">
        <f t="shared" si="59"/>
        <v>473.45849999999996</v>
      </c>
      <c r="Y98" s="57">
        <f t="shared" si="47"/>
        <v>1.0747198144101498E-3</v>
      </c>
      <c r="Z98" s="14">
        <f>+Z96*0.0765</f>
        <v>5814</v>
      </c>
      <c r="AA98" s="57">
        <f t="shared" si="48"/>
        <v>1.0387861402325952E-3</v>
      </c>
    </row>
    <row r="99" spans="2:28" x14ac:dyDescent="0.2">
      <c r="B99" s="5"/>
      <c r="C99" s="25" t="s">
        <v>9</v>
      </c>
      <c r="D99" s="25"/>
      <c r="F99" s="33">
        <v>5200230</v>
      </c>
      <c r="G99" s="1">
        <v>0</v>
      </c>
      <c r="H99" s="1">
        <v>0</v>
      </c>
      <c r="M99" s="14"/>
      <c r="O99" s="1">
        <v>3648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42">
        <f t="shared" si="59"/>
        <v>304</v>
      </c>
      <c r="Y99" s="57">
        <f t="shared" si="47"/>
        <v>6.9006010786729056E-4</v>
      </c>
      <c r="Z99" s="1">
        <v>5140</v>
      </c>
      <c r="AA99" s="57">
        <f t="shared" si="48"/>
        <v>9.1836270395520114E-4</v>
      </c>
      <c r="AB99" s="36" t="s">
        <v>313</v>
      </c>
    </row>
    <row r="100" spans="2:28" x14ac:dyDescent="0.2">
      <c r="B100" s="5"/>
      <c r="C100" t="s">
        <v>10</v>
      </c>
      <c r="F100" s="3">
        <v>5200240</v>
      </c>
      <c r="G100" s="30">
        <f>+G96*0.0057</f>
        <v>158.88750000000002</v>
      </c>
      <c r="H100" s="30">
        <f>+H96*0.0057</f>
        <v>133.44839999999999</v>
      </c>
      <c r="M100" s="14"/>
      <c r="O100" s="30">
        <f>+O96*0.0057</f>
        <v>423.32760000000002</v>
      </c>
      <c r="P100" s="30">
        <f>+P96*0.0057</f>
        <v>427.56087600000006</v>
      </c>
      <c r="Q100" s="30">
        <f>+Q96*0.0057</f>
        <v>431.83648476000002</v>
      </c>
      <c r="R100" s="30">
        <f t="shared" ref="R100:W100" si="61">+R96*0.0057</f>
        <v>436.15484960760006</v>
      </c>
      <c r="S100" s="30">
        <f t="shared" si="61"/>
        <v>440.51639810367607</v>
      </c>
      <c r="T100" s="30">
        <f t="shared" si="61"/>
        <v>444.92156208471283</v>
      </c>
      <c r="U100" s="30">
        <f t="shared" si="61"/>
        <v>449.37077770555993</v>
      </c>
      <c r="V100" s="30">
        <f t="shared" si="61"/>
        <v>453.86448548261552</v>
      </c>
      <c r="W100" s="30">
        <f t="shared" si="61"/>
        <v>458.40313033744167</v>
      </c>
      <c r="X100" s="42">
        <f t="shared" si="59"/>
        <v>35.277300000000004</v>
      </c>
      <c r="Y100" s="57">
        <f t="shared" si="47"/>
        <v>8.00771626423249E-5</v>
      </c>
      <c r="Z100" s="1">
        <f>+O100</f>
        <v>423.32760000000002</v>
      </c>
      <c r="AA100" s="57">
        <f t="shared" si="48"/>
        <v>7.5635852022347427E-5</v>
      </c>
    </row>
    <row r="101" spans="2:28" ht="15" x14ac:dyDescent="0.35">
      <c r="B101" s="5"/>
      <c r="C101" s="29" t="s">
        <v>269</v>
      </c>
      <c r="F101" s="3">
        <v>5200250</v>
      </c>
      <c r="G101" s="4">
        <f>7000*0.027*1</f>
        <v>189</v>
      </c>
      <c r="H101" s="4">
        <f>7000*0.027*1</f>
        <v>189</v>
      </c>
      <c r="M101" s="14"/>
      <c r="O101" s="4">
        <f>7000*0.007*2</f>
        <v>98</v>
      </c>
      <c r="P101" s="4">
        <f>7000*0.027*1</f>
        <v>189</v>
      </c>
      <c r="Q101" s="4">
        <f>7000*0.027*1</f>
        <v>189</v>
      </c>
      <c r="R101" s="4">
        <f t="shared" ref="R101:W101" si="62">7000*0.027*1</f>
        <v>189</v>
      </c>
      <c r="S101" s="4">
        <f t="shared" si="62"/>
        <v>189</v>
      </c>
      <c r="T101" s="4">
        <f t="shared" si="62"/>
        <v>189</v>
      </c>
      <c r="U101" s="4">
        <f t="shared" si="62"/>
        <v>189</v>
      </c>
      <c r="V101" s="4">
        <f t="shared" si="62"/>
        <v>189</v>
      </c>
      <c r="W101" s="4">
        <f t="shared" si="62"/>
        <v>189</v>
      </c>
      <c r="X101" s="42">
        <f t="shared" si="59"/>
        <v>8.1666666666666661</v>
      </c>
      <c r="Y101" s="58">
        <f t="shared" si="47"/>
        <v>1.8537798950382258E-5</v>
      </c>
      <c r="Z101" s="4">
        <f>+O101</f>
        <v>98</v>
      </c>
      <c r="AA101" s="58">
        <f t="shared" si="48"/>
        <v>1.7509639102647802E-5</v>
      </c>
    </row>
    <row r="102" spans="2:28" ht="15" x14ac:dyDescent="0.35">
      <c r="B102" s="5"/>
      <c r="D102" s="5" t="s">
        <v>270</v>
      </c>
      <c r="G102" s="4">
        <f>SUBTOTAL(9,G97:G101)</f>
        <v>2480.3249999999998</v>
      </c>
      <c r="H102" s="4">
        <f>SUBTOTAL(9,H97:H101)</f>
        <v>2815.4664000000002</v>
      </c>
      <c r="I102" s="4">
        <f t="shared" ref="I102:N102" si="63">SUBTOTAL(9,I97:I101)</f>
        <v>0</v>
      </c>
      <c r="J102" s="4">
        <f t="shared" si="63"/>
        <v>0</v>
      </c>
      <c r="K102" s="4">
        <f t="shared" si="63"/>
        <v>0</v>
      </c>
      <c r="L102" s="4">
        <f t="shared" si="63"/>
        <v>0</v>
      </c>
      <c r="M102" s="4">
        <f t="shared" si="63"/>
        <v>0</v>
      </c>
      <c r="N102" s="4">
        <f t="shared" si="63"/>
        <v>0</v>
      </c>
      <c r="O102" s="8">
        <f>SUBTOTAL(9,O97:O101)</f>
        <v>9850.8296000000009</v>
      </c>
      <c r="P102" s="4">
        <f>SUBTOTAL(9,P97:P101)</f>
        <v>7480.0380960000011</v>
      </c>
      <c r="Q102" s="4">
        <f>SUBTOTAL(9,Q97:Q101)</f>
        <v>7552.9484769599994</v>
      </c>
      <c r="R102" s="4">
        <f t="shared" ref="R102:W102" si="64">SUBTOTAL(9,R97:R101)</f>
        <v>7626.5879617296005</v>
      </c>
      <c r="S102" s="4">
        <f t="shared" si="64"/>
        <v>7700.9638413468965</v>
      </c>
      <c r="T102" s="4">
        <f t="shared" si="64"/>
        <v>7776.0834797603648</v>
      </c>
      <c r="U102" s="4">
        <f t="shared" si="64"/>
        <v>7851.9543145579692</v>
      </c>
      <c r="V102" s="4">
        <f t="shared" si="64"/>
        <v>7928.5838577035483</v>
      </c>
      <c r="W102" s="4">
        <f t="shared" si="64"/>
        <v>8005.9796962805831</v>
      </c>
      <c r="Y102" s="56">
        <f t="shared" si="47"/>
        <v>1.8633948838701478E-3</v>
      </c>
      <c r="Z102" s="8">
        <f>SUBTOTAL(9,Z97:Z101)</f>
        <v>12475.327600000001</v>
      </c>
      <c r="AA102" s="56">
        <f t="shared" si="48"/>
        <v>2.2289641220745037E-3</v>
      </c>
    </row>
    <row r="103" spans="2:28" ht="15" x14ac:dyDescent="0.35">
      <c r="B103" s="5"/>
      <c r="C103" s="49" t="s">
        <v>11</v>
      </c>
      <c r="D103" s="93"/>
      <c r="G103" s="4"/>
      <c r="H103" s="4"/>
      <c r="I103" s="4"/>
      <c r="J103" s="4"/>
      <c r="K103" s="4"/>
      <c r="L103" s="4"/>
      <c r="M103" s="4"/>
      <c r="N103" s="4"/>
      <c r="O103" s="4">
        <v>12000</v>
      </c>
      <c r="P103" s="4"/>
      <c r="Q103" s="4"/>
      <c r="R103" s="4"/>
      <c r="S103" s="4"/>
      <c r="T103" s="4"/>
      <c r="U103" s="4"/>
      <c r="V103" s="4"/>
      <c r="W103" s="4"/>
      <c r="Y103" s="58">
        <f t="shared" si="47"/>
        <v>2.2699345653529293E-3</v>
      </c>
      <c r="Z103" s="52">
        <v>19000</v>
      </c>
      <c r="AA103" s="69">
        <f t="shared" si="48"/>
        <v>3.3947259484725331E-3</v>
      </c>
    </row>
    <row r="104" spans="2:28" ht="15" x14ac:dyDescent="0.35">
      <c r="B104" s="5"/>
      <c r="D104" s="5" t="s">
        <v>43</v>
      </c>
      <c r="G104" s="4"/>
      <c r="H104" s="4"/>
      <c r="I104" s="4"/>
      <c r="J104" s="4"/>
      <c r="K104" s="4"/>
      <c r="L104" s="4"/>
      <c r="M104" s="4"/>
      <c r="N104" s="4"/>
      <c r="O104" s="6">
        <f>O103</f>
        <v>12000</v>
      </c>
      <c r="P104" s="4"/>
      <c r="Q104" s="4"/>
      <c r="R104" s="4"/>
      <c r="S104" s="4"/>
      <c r="T104" s="4"/>
      <c r="U104" s="4"/>
      <c r="V104" s="4"/>
      <c r="W104" s="4"/>
      <c r="Y104" s="60">
        <f t="shared" si="47"/>
        <v>2.2699345653529293E-3</v>
      </c>
      <c r="Z104" s="39">
        <f>+Z103</f>
        <v>19000</v>
      </c>
      <c r="AA104" s="72">
        <f t="shared" si="48"/>
        <v>3.3947259484725331E-3</v>
      </c>
    </row>
    <row r="105" spans="2:28" x14ac:dyDescent="0.2">
      <c r="B105" s="5" t="s">
        <v>271</v>
      </c>
      <c r="D105" s="5"/>
      <c r="G105" s="8">
        <f t="shared" ref="G105:N105" si="65">G96+G102</f>
        <v>30355.325000000001</v>
      </c>
      <c r="H105" s="8">
        <f t="shared" si="65"/>
        <v>26227.466400000001</v>
      </c>
      <c r="I105" s="14" t="e">
        <f t="shared" si="65"/>
        <v>#REF!</v>
      </c>
      <c r="J105" s="14" t="e">
        <f t="shared" si="65"/>
        <v>#REF!</v>
      </c>
      <c r="K105" s="14" t="e">
        <f t="shared" si="65"/>
        <v>#REF!</v>
      </c>
      <c r="L105" s="14" t="e">
        <f t="shared" si="65"/>
        <v>#REF!</v>
      </c>
      <c r="M105" s="14" t="e">
        <f t="shared" si="65"/>
        <v>#REF!</v>
      </c>
      <c r="N105" s="14" t="e">
        <f t="shared" si="65"/>
        <v>#REF!</v>
      </c>
      <c r="O105" s="8">
        <f>O96+O102+O104</f>
        <v>96118.829599999997</v>
      </c>
      <c r="P105" s="8">
        <f t="shared" ref="P105:W105" si="66">P96+P102</f>
        <v>82490.718096000011</v>
      </c>
      <c r="Q105" s="8">
        <f t="shared" si="66"/>
        <v>83313.735276959997</v>
      </c>
      <c r="R105" s="8">
        <f t="shared" si="66"/>
        <v>84144.982629729609</v>
      </c>
      <c r="S105" s="8">
        <f t="shared" si="66"/>
        <v>84984.542456026902</v>
      </c>
      <c r="T105" s="8">
        <f t="shared" si="66"/>
        <v>85832.497880587165</v>
      </c>
      <c r="U105" s="8">
        <f t="shared" si="66"/>
        <v>86688.93285939304</v>
      </c>
      <c r="V105" s="8">
        <f t="shared" si="66"/>
        <v>87553.932187986968</v>
      </c>
      <c r="W105" s="8">
        <f t="shared" si="66"/>
        <v>88427.581509866839</v>
      </c>
      <c r="Y105" s="56">
        <f t="shared" si="47"/>
        <v>1.8181954474192356E-2</v>
      </c>
      <c r="Z105" s="8">
        <f>Z96+Z102+Z104</f>
        <v>107475.3276</v>
      </c>
      <c r="AA105" s="56">
        <f t="shared" si="48"/>
        <v>1.9202593864437172E-2</v>
      </c>
    </row>
    <row r="106" spans="2:28" ht="15" hidden="1" x14ac:dyDescent="0.35">
      <c r="B106" s="5"/>
      <c r="D106" s="5"/>
      <c r="G106" s="8"/>
      <c r="H106" s="8"/>
      <c r="M106" s="14"/>
      <c r="N106" s="14"/>
      <c r="O106" s="8"/>
      <c r="P106" s="8"/>
      <c r="Q106" s="8"/>
      <c r="R106" s="8"/>
      <c r="S106" s="8"/>
      <c r="T106" s="8"/>
      <c r="U106" s="8"/>
      <c r="V106" s="8"/>
      <c r="W106" s="8"/>
      <c r="Y106" s="4"/>
      <c r="Z106"/>
      <c r="AA106" s="58">
        <f t="shared" ref="AA106:AA109" si="67">+Q106/$O$17</f>
        <v>0</v>
      </c>
    </row>
    <row r="107" spans="2:28" ht="15" hidden="1" x14ac:dyDescent="0.35">
      <c r="B107" s="5" t="s">
        <v>294</v>
      </c>
      <c r="D107" s="5"/>
      <c r="G107" s="8"/>
      <c r="H107" s="8"/>
      <c r="M107" s="14"/>
      <c r="N107" s="14"/>
      <c r="O107" s="8"/>
      <c r="P107" s="8"/>
      <c r="Q107" s="8"/>
      <c r="R107" s="8"/>
      <c r="S107" s="8"/>
      <c r="T107" s="8"/>
      <c r="U107" s="8"/>
      <c r="V107" s="8"/>
      <c r="W107" s="8"/>
      <c r="Y107" s="6"/>
      <c r="Z107"/>
      <c r="AA107" s="59">
        <f t="shared" si="67"/>
        <v>0</v>
      </c>
    </row>
    <row r="108" spans="2:28" ht="15" hidden="1" x14ac:dyDescent="0.35">
      <c r="B108" s="5"/>
      <c r="C108" s="36" t="s">
        <v>295</v>
      </c>
      <c r="D108" s="5"/>
      <c r="G108" s="8"/>
      <c r="H108" s="8"/>
      <c r="M108" s="14"/>
      <c r="N108" s="14"/>
      <c r="O108" s="44">
        <v>0</v>
      </c>
      <c r="P108" s="8"/>
      <c r="Q108" s="8"/>
      <c r="R108" s="8"/>
      <c r="S108" s="8"/>
      <c r="T108" s="8"/>
      <c r="U108" s="8"/>
      <c r="V108" s="8"/>
      <c r="W108" s="8"/>
      <c r="Y108" s="6"/>
      <c r="Z108"/>
      <c r="AA108" s="59">
        <f t="shared" si="67"/>
        <v>0</v>
      </c>
    </row>
    <row r="109" spans="2:28" hidden="1" x14ac:dyDescent="0.2">
      <c r="B109" s="5"/>
      <c r="C109" s="36"/>
      <c r="D109" s="5" t="s">
        <v>297</v>
      </c>
      <c r="G109" s="8"/>
      <c r="H109" s="8"/>
      <c r="M109" s="14"/>
      <c r="N109" s="14"/>
      <c r="O109" s="8">
        <f>O108</f>
        <v>0</v>
      </c>
      <c r="P109" s="8"/>
      <c r="Q109" s="8"/>
      <c r="R109" s="8"/>
      <c r="S109" s="8"/>
      <c r="T109" s="8"/>
      <c r="U109" s="8"/>
      <c r="V109" s="8"/>
      <c r="W109" s="8"/>
      <c r="Y109" s="8"/>
      <c r="Z109"/>
      <c r="AA109" s="56">
        <f t="shared" si="67"/>
        <v>0</v>
      </c>
    </row>
    <row r="110" spans="2:28" hidden="1" x14ac:dyDescent="0.2">
      <c r="B110" s="5"/>
      <c r="C110" s="36" t="s">
        <v>7</v>
      </c>
      <c r="D110" s="5"/>
      <c r="G110" s="8"/>
      <c r="H110" s="8"/>
      <c r="M110" s="14"/>
      <c r="N110" s="14"/>
      <c r="O110" s="8">
        <v>0</v>
      </c>
      <c r="P110" s="8"/>
      <c r="Q110" s="8"/>
      <c r="R110" s="8"/>
      <c r="S110" s="8"/>
      <c r="T110" s="8"/>
      <c r="U110" s="8"/>
      <c r="V110" s="8"/>
      <c r="W110" s="8"/>
      <c r="Y110"/>
      <c r="Z110"/>
      <c r="AA110" s="57"/>
    </row>
    <row r="111" spans="2:28" hidden="1" x14ac:dyDescent="0.2">
      <c r="B111" s="5"/>
      <c r="C111" s="36" t="s">
        <v>291</v>
      </c>
      <c r="D111" s="5"/>
      <c r="G111" s="8"/>
      <c r="H111" s="8"/>
      <c r="M111" s="14"/>
      <c r="N111" s="14"/>
      <c r="O111" s="21">
        <f>O109*0.0765</f>
        <v>0</v>
      </c>
      <c r="P111" s="8"/>
      <c r="Q111" s="8"/>
      <c r="R111" s="8"/>
      <c r="S111" s="8"/>
      <c r="T111" s="8"/>
      <c r="U111" s="8"/>
      <c r="V111" s="8"/>
      <c r="W111" s="8"/>
      <c r="Y111"/>
      <c r="Z111"/>
      <c r="AA111" s="57"/>
    </row>
    <row r="112" spans="2:28" hidden="1" x14ac:dyDescent="0.2">
      <c r="B112" s="5"/>
      <c r="C112" s="36" t="s">
        <v>292</v>
      </c>
      <c r="D112" s="5"/>
      <c r="G112" s="8"/>
      <c r="H112" s="8"/>
      <c r="M112" s="14"/>
      <c r="N112" s="14"/>
      <c r="O112" s="21">
        <v>0</v>
      </c>
      <c r="P112" s="8"/>
      <c r="Q112" s="8"/>
      <c r="R112" s="8"/>
      <c r="S112" s="8"/>
      <c r="T112" s="8"/>
      <c r="U112" s="8"/>
      <c r="V112" s="8"/>
      <c r="W112" s="8"/>
      <c r="Y112" s="8"/>
      <c r="Z112"/>
      <c r="AA112" s="56">
        <f t="shared" ref="AA112:AA123" si="68">+Q112/$O$17</f>
        <v>0</v>
      </c>
    </row>
    <row r="113" spans="1:27" hidden="1" x14ac:dyDescent="0.2">
      <c r="B113" s="5"/>
      <c r="C113" s="36" t="s">
        <v>10</v>
      </c>
      <c r="D113" s="5"/>
      <c r="G113" s="8"/>
      <c r="H113" s="8"/>
      <c r="M113" s="14"/>
      <c r="N113" s="14"/>
      <c r="O113" s="21">
        <v>0</v>
      </c>
      <c r="P113" s="8"/>
      <c r="Q113" s="8"/>
      <c r="R113" s="8"/>
      <c r="S113" s="8"/>
      <c r="T113" s="8"/>
      <c r="U113" s="8"/>
      <c r="V113" s="8"/>
      <c r="W113" s="8"/>
      <c r="Y113" s="8"/>
      <c r="Z113"/>
      <c r="AA113" s="57"/>
    </row>
    <row r="114" spans="1:27" hidden="1" x14ac:dyDescent="0.2">
      <c r="B114" s="5"/>
      <c r="C114" s="36" t="s">
        <v>293</v>
      </c>
      <c r="D114" s="5"/>
      <c r="G114" s="8"/>
      <c r="H114" s="8"/>
      <c r="M114" s="14"/>
      <c r="N114" s="14"/>
      <c r="O114" s="46">
        <v>0</v>
      </c>
      <c r="P114" s="8"/>
      <c r="Q114" s="8"/>
      <c r="R114" s="8"/>
      <c r="S114" s="8"/>
      <c r="T114" s="8"/>
      <c r="U114" s="8"/>
      <c r="V114" s="8"/>
      <c r="W114" s="8"/>
      <c r="Y114" s="8"/>
      <c r="Z114"/>
      <c r="AA114" s="57"/>
    </row>
    <row r="115" spans="1:27" hidden="1" x14ac:dyDescent="0.2">
      <c r="B115" s="5"/>
      <c r="C115" s="36"/>
      <c r="D115" s="5" t="s">
        <v>298</v>
      </c>
      <c r="G115" s="8"/>
      <c r="H115" s="8"/>
      <c r="M115" s="14"/>
      <c r="N115" s="14"/>
      <c r="O115" s="8">
        <f>SUBTOTAL(9,O111:O114)</f>
        <v>0</v>
      </c>
      <c r="P115" s="8"/>
      <c r="Q115" s="8"/>
      <c r="R115" s="8"/>
      <c r="S115" s="8"/>
      <c r="T115" s="8"/>
      <c r="U115" s="8"/>
      <c r="V115" s="8"/>
      <c r="W115" s="8"/>
      <c r="Y115" s="44"/>
      <c r="Z115"/>
      <c r="AA115" s="59">
        <f t="shared" si="68"/>
        <v>0</v>
      </c>
    </row>
    <row r="116" spans="1:27" hidden="1" x14ac:dyDescent="0.2">
      <c r="B116" s="5" t="s">
        <v>296</v>
      </c>
      <c r="C116" s="36"/>
      <c r="D116" s="5"/>
      <c r="G116" s="8"/>
      <c r="H116" s="8"/>
      <c r="M116" s="14"/>
      <c r="N116" s="14"/>
      <c r="O116" s="8">
        <f>O109+O115</f>
        <v>0</v>
      </c>
      <c r="P116" s="8"/>
      <c r="Q116" s="8"/>
      <c r="R116" s="8"/>
      <c r="S116" s="8"/>
      <c r="T116" s="8"/>
      <c r="U116" s="8"/>
      <c r="V116" s="8"/>
      <c r="W116" s="8"/>
      <c r="Y116" s="8"/>
      <c r="Z116"/>
      <c r="AA116" s="56">
        <f t="shared" si="68"/>
        <v>0</v>
      </c>
    </row>
    <row r="117" spans="1:27" x14ac:dyDescent="0.2">
      <c r="B117" s="5"/>
      <c r="D117" s="5"/>
      <c r="G117" s="8"/>
      <c r="H117" s="8"/>
      <c r="M117" s="14"/>
      <c r="N117" s="14"/>
      <c r="O117" s="8"/>
      <c r="P117" s="8"/>
      <c r="Q117" s="8"/>
      <c r="R117" s="8"/>
      <c r="S117" s="8"/>
      <c r="T117" s="8"/>
      <c r="U117" s="8"/>
      <c r="V117" s="8"/>
      <c r="W117" s="8"/>
      <c r="AA117" s="57"/>
    </row>
    <row r="118" spans="1:27" x14ac:dyDescent="0.2">
      <c r="B118" s="5" t="s">
        <v>24</v>
      </c>
      <c r="F118" s="3">
        <v>7100</v>
      </c>
      <c r="G118" s="1"/>
      <c r="M118" s="21" t="e">
        <f>IF(M130="*","*","")</f>
        <v>#REF!</v>
      </c>
      <c r="P118" s="1"/>
      <c r="Q118" s="1"/>
      <c r="R118" s="1"/>
      <c r="S118" s="1"/>
      <c r="T118" s="1"/>
      <c r="U118" s="1"/>
      <c r="V118" s="1"/>
      <c r="W118" s="1"/>
      <c r="AA118" s="57"/>
    </row>
    <row r="119" spans="1:27" x14ac:dyDescent="0.2">
      <c r="C119" t="s">
        <v>20</v>
      </c>
      <c r="E119" s="3" t="s">
        <v>211</v>
      </c>
      <c r="F119" s="3">
        <v>7100310</v>
      </c>
      <c r="G119" s="14">
        <v>2500</v>
      </c>
      <c r="H119" s="14">
        <v>2500</v>
      </c>
      <c r="I119" s="14">
        <v>5000</v>
      </c>
      <c r="J119" s="14">
        <v>5000</v>
      </c>
      <c r="K119" s="14">
        <v>5000</v>
      </c>
      <c r="L119" s="14">
        <v>5000</v>
      </c>
      <c r="M119" s="14" t="str">
        <f t="shared" ref="M119:M181" si="69">IF(MAX(H119:L119)&gt;0.49,"*","")</f>
        <v>*</v>
      </c>
      <c r="O119" s="17">
        <v>2500</v>
      </c>
      <c r="P119" s="1">
        <v>5000</v>
      </c>
      <c r="Q119" s="1">
        <v>5000</v>
      </c>
      <c r="R119" s="1">
        <v>5000</v>
      </c>
      <c r="S119" s="1">
        <v>5000</v>
      </c>
      <c r="T119" s="1">
        <v>5000</v>
      </c>
      <c r="U119" s="1">
        <v>5000</v>
      </c>
      <c r="V119" s="1">
        <v>5000</v>
      </c>
      <c r="W119" s="1">
        <v>5000</v>
      </c>
      <c r="X119" s="42">
        <f t="shared" ref="X119:X128" si="70">O119/12</f>
        <v>208.33333333333334</v>
      </c>
      <c r="Y119" s="57">
        <f t="shared" ref="Y119:Y120" si="71">+O119/$O$17</f>
        <v>4.7290303444852698E-4</v>
      </c>
      <c r="Z119" s="1">
        <f>+O119</f>
        <v>2500</v>
      </c>
      <c r="AA119" s="57">
        <f t="shared" ref="AA119:AA120" si="72">+Z119/Z$17</f>
        <v>4.4667446690428069E-4</v>
      </c>
    </row>
    <row r="120" spans="1:27" x14ac:dyDescent="0.2">
      <c r="A120" s="49"/>
      <c r="B120" s="49"/>
      <c r="C120" s="49" t="s">
        <v>157</v>
      </c>
      <c r="D120" s="49"/>
      <c r="E120" s="3" t="s">
        <v>214</v>
      </c>
      <c r="F120" s="27">
        <v>7110315</v>
      </c>
      <c r="G120" s="14">
        <f>0.05*(G10-G128)</f>
        <v>111151.8</v>
      </c>
      <c r="H120" s="14">
        <f>0.05*(H10-H128)</f>
        <v>113106.70000000001</v>
      </c>
      <c r="I120" s="14" t="e">
        <f t="shared" ref="I120:N120" si="73">0.045*(I10-I128)</f>
        <v>#REF!</v>
      </c>
      <c r="J120" s="14" t="e">
        <f t="shared" si="73"/>
        <v>#REF!</v>
      </c>
      <c r="K120" s="14" t="e">
        <f t="shared" si="73"/>
        <v>#REF!</v>
      </c>
      <c r="L120" s="14" t="e">
        <f t="shared" si="73"/>
        <v>#REF!</v>
      </c>
      <c r="M120" s="14" t="e">
        <f t="shared" si="73"/>
        <v>#REF!</v>
      </c>
      <c r="N120" s="14">
        <f t="shared" si="73"/>
        <v>-3120.5699999999997</v>
      </c>
      <c r="O120" s="50">
        <f>0.035*(O10-O128)</f>
        <v>173562.06000000003</v>
      </c>
      <c r="P120" s="14">
        <f>0.04*(P10-P128)</f>
        <v>182128.6</v>
      </c>
      <c r="Q120" s="14">
        <f>0.04*(Q10-Q128)</f>
        <v>182128.6</v>
      </c>
      <c r="R120" s="14">
        <f>0.04*(R10-R128)</f>
        <v>182128.6</v>
      </c>
      <c r="S120" s="14">
        <f>0.035*(S10-S128)</f>
        <v>159362.52500000002</v>
      </c>
      <c r="T120" s="14">
        <f>0.04*(T10-T128)-40000</f>
        <v>142128.6</v>
      </c>
      <c r="U120" s="14">
        <f>0.04*(U10-U128)</f>
        <v>187026.44</v>
      </c>
      <c r="V120" s="14">
        <f>0.04*(V10-V128)</f>
        <v>187026.44</v>
      </c>
      <c r="W120" s="14">
        <f>0.04*(W10-W128)</f>
        <v>191923.44</v>
      </c>
      <c r="X120" s="42">
        <f t="shared" si="70"/>
        <v>14463.505000000003</v>
      </c>
      <c r="Y120" s="61">
        <f t="shared" si="71"/>
        <v>3.2831209935654929E-2</v>
      </c>
      <c r="Z120" s="50">
        <f>0.04*(Z10-Z128)</f>
        <v>200805.48740740743</v>
      </c>
      <c r="AA120" s="57">
        <f t="shared" si="72"/>
        <v>3.5877873615663185E-2</v>
      </c>
    </row>
    <row r="121" spans="1:27" hidden="1" x14ac:dyDescent="0.2">
      <c r="C121" t="s">
        <v>195</v>
      </c>
      <c r="F121" s="26"/>
      <c r="G121" s="30">
        <v>7000</v>
      </c>
      <c r="I121" s="14">
        <v>0</v>
      </c>
      <c r="J121" s="14">
        <v>0</v>
      </c>
      <c r="K121" s="14">
        <v>0</v>
      </c>
      <c r="L121" s="14">
        <v>0</v>
      </c>
      <c r="M121" s="14" t="str">
        <f t="shared" si="69"/>
        <v/>
      </c>
      <c r="X121">
        <f t="shared" si="70"/>
        <v>0</v>
      </c>
      <c r="Y121" s="21"/>
      <c r="Z121"/>
      <c r="AA121" s="57">
        <f t="shared" si="68"/>
        <v>0</v>
      </c>
    </row>
    <row r="122" spans="1:27" x14ac:dyDescent="0.2">
      <c r="C122" t="s">
        <v>76</v>
      </c>
      <c r="E122" s="3" t="s">
        <v>211</v>
      </c>
      <c r="F122" s="3">
        <v>7100310</v>
      </c>
      <c r="G122" s="30">
        <v>7000</v>
      </c>
      <c r="H122" s="30">
        <v>7000</v>
      </c>
      <c r="I122" s="14">
        <f>+H122*Inf</f>
        <v>7210</v>
      </c>
      <c r="J122" s="14">
        <f>+I122*Inf</f>
        <v>7426.3</v>
      </c>
      <c r="K122" s="14">
        <f>+J122*Inf</f>
        <v>7649.0889999999999</v>
      </c>
      <c r="L122" s="14">
        <f>+K122*Inf</f>
        <v>7878.56167</v>
      </c>
      <c r="M122" s="14" t="str">
        <f t="shared" si="69"/>
        <v>*</v>
      </c>
      <c r="O122" s="17">
        <v>7000</v>
      </c>
      <c r="P122" s="17">
        <v>15000</v>
      </c>
      <c r="Q122" s="17">
        <v>15000</v>
      </c>
      <c r="R122" s="17">
        <v>15000</v>
      </c>
      <c r="S122" s="17">
        <v>15000</v>
      </c>
      <c r="T122" s="1">
        <v>20000</v>
      </c>
      <c r="U122" s="1">
        <v>20000</v>
      </c>
      <c r="V122" s="1">
        <v>20000</v>
      </c>
      <c r="W122" s="1">
        <v>20000</v>
      </c>
      <c r="X122" s="42">
        <f t="shared" si="70"/>
        <v>583.33333333333337</v>
      </c>
      <c r="Y122" s="61">
        <f>+O122/$O$17</f>
        <v>1.3241284964558755E-3</v>
      </c>
      <c r="Z122" s="1">
        <f>+O122</f>
        <v>7000</v>
      </c>
      <c r="AA122" s="57">
        <f>+Z122/Z$17</f>
        <v>1.2506885073319859E-3</v>
      </c>
    </row>
    <row r="123" spans="1:27" ht="13.5" hidden="1" thickBot="1" x14ac:dyDescent="0.25">
      <c r="C123" t="s">
        <v>93</v>
      </c>
      <c r="E123" s="3" t="s">
        <v>211</v>
      </c>
      <c r="F123" s="3">
        <v>7400</v>
      </c>
      <c r="G123" s="14"/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 t="str">
        <f t="shared" si="69"/>
        <v/>
      </c>
      <c r="X123">
        <f t="shared" si="70"/>
        <v>0</v>
      </c>
      <c r="Y123" s="45"/>
      <c r="Z123"/>
      <c r="AA123" s="58">
        <f t="shared" si="68"/>
        <v>0</v>
      </c>
    </row>
    <row r="124" spans="1:27" x14ac:dyDescent="0.2">
      <c r="C124" t="s">
        <v>12</v>
      </c>
      <c r="E124" s="3" t="s">
        <v>211</v>
      </c>
      <c r="F124" s="3">
        <v>7100330</v>
      </c>
      <c r="G124" s="30">
        <v>2500</v>
      </c>
      <c r="H124" s="30">
        <v>1000</v>
      </c>
      <c r="I124" s="14">
        <f t="shared" ref="I124:L125" si="74">+H124*Inf</f>
        <v>1030</v>
      </c>
      <c r="J124" s="14">
        <f t="shared" si="74"/>
        <v>1060.9000000000001</v>
      </c>
      <c r="K124" s="14">
        <f t="shared" si="74"/>
        <v>1092.7270000000001</v>
      </c>
      <c r="L124" s="14">
        <f t="shared" si="74"/>
        <v>1125.50881</v>
      </c>
      <c r="M124" s="14" t="str">
        <f t="shared" si="69"/>
        <v>*</v>
      </c>
      <c r="O124" s="17">
        <v>3500</v>
      </c>
      <c r="P124" s="1">
        <v>2500</v>
      </c>
      <c r="Q124" s="1">
        <v>2500</v>
      </c>
      <c r="R124" s="1">
        <v>2500</v>
      </c>
      <c r="S124" s="1">
        <v>2500</v>
      </c>
      <c r="T124" s="1">
        <v>2500</v>
      </c>
      <c r="U124" s="1">
        <v>2500</v>
      </c>
      <c r="V124" s="1">
        <v>2500</v>
      </c>
      <c r="W124" s="1">
        <v>2500</v>
      </c>
      <c r="X124" s="42">
        <f t="shared" si="70"/>
        <v>291.66666666666669</v>
      </c>
      <c r="Y124" s="61">
        <f t="shared" ref="Y124:Y125" si="75">+O124/$O$17</f>
        <v>6.6206424822793774E-4</v>
      </c>
      <c r="Z124" s="1">
        <f t="shared" ref="Z124:Z125" si="76">+O124</f>
        <v>3500</v>
      </c>
      <c r="AA124" s="57">
        <f t="shared" ref="AA124:AA125" si="77">+Z124/Z$17</f>
        <v>6.2534425366599295E-4</v>
      </c>
    </row>
    <row r="125" spans="1:27" x14ac:dyDescent="0.2">
      <c r="C125" t="s">
        <v>21</v>
      </c>
      <c r="E125" s="3" t="s">
        <v>211</v>
      </c>
      <c r="F125" s="27">
        <v>7100320</v>
      </c>
      <c r="G125" s="14"/>
      <c r="I125" s="14">
        <f t="shared" si="74"/>
        <v>0</v>
      </c>
      <c r="J125" s="14">
        <f t="shared" si="74"/>
        <v>0</v>
      </c>
      <c r="K125" s="14">
        <f t="shared" si="74"/>
        <v>0</v>
      </c>
      <c r="L125" s="14">
        <f t="shared" si="74"/>
        <v>0</v>
      </c>
      <c r="M125" s="14" t="str">
        <f t="shared" si="69"/>
        <v/>
      </c>
      <c r="O125" s="17">
        <f>G125-H125</f>
        <v>0</v>
      </c>
      <c r="P125" s="1"/>
      <c r="Q125" s="1"/>
      <c r="R125" s="1"/>
      <c r="S125" s="1"/>
      <c r="T125" s="1"/>
      <c r="U125" s="1"/>
      <c r="V125" s="1"/>
      <c r="W125" s="1"/>
      <c r="X125" s="42">
        <f t="shared" si="70"/>
        <v>0</v>
      </c>
      <c r="Y125" s="57">
        <f t="shared" si="75"/>
        <v>0</v>
      </c>
      <c r="Z125" s="1">
        <f t="shared" si="76"/>
        <v>0</v>
      </c>
      <c r="AA125" s="57">
        <f t="shared" si="77"/>
        <v>0</v>
      </c>
    </row>
    <row r="126" spans="1:27" ht="15" hidden="1" x14ac:dyDescent="0.35">
      <c r="C126" t="s">
        <v>194</v>
      </c>
      <c r="G126" s="6">
        <v>193460.85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 t="str">
        <f t="shared" si="69"/>
        <v/>
      </c>
      <c r="X126">
        <f t="shared" si="70"/>
        <v>0</v>
      </c>
      <c r="Y126"/>
      <c r="Z126"/>
      <c r="AA126" s="57"/>
    </row>
    <row r="127" spans="1:27" x14ac:dyDescent="0.2">
      <c r="C127" s="36" t="s">
        <v>309</v>
      </c>
      <c r="F127" s="3">
        <v>7100390</v>
      </c>
      <c r="G127" s="1"/>
      <c r="H127" s="1"/>
      <c r="M127" s="14"/>
      <c r="O127" s="17">
        <v>5000</v>
      </c>
      <c r="P127" s="1"/>
      <c r="Q127" s="1"/>
      <c r="R127" s="1"/>
      <c r="S127" s="1"/>
      <c r="T127" s="1"/>
      <c r="U127" s="1"/>
      <c r="V127" s="1"/>
      <c r="W127" s="1"/>
      <c r="X127" s="42">
        <f t="shared" si="70"/>
        <v>416.66666666666669</v>
      </c>
      <c r="Y127" s="57">
        <f t="shared" ref="Y127:Y128" si="78">+O127/$O$17</f>
        <v>9.4580606889705396E-4</v>
      </c>
      <c r="Z127" s="1">
        <v>15000</v>
      </c>
      <c r="AA127" s="57">
        <f t="shared" ref="AA127:AA128" si="79">+Z127/Z$17</f>
        <v>2.6800468014256842E-3</v>
      </c>
    </row>
    <row r="128" spans="1:27" ht="15" x14ac:dyDescent="0.35">
      <c r="C128" t="s">
        <v>22</v>
      </c>
      <c r="E128" s="4" t="s">
        <v>240</v>
      </c>
      <c r="F128" s="3">
        <v>7100790</v>
      </c>
      <c r="G128" s="4">
        <v>71711</v>
      </c>
      <c r="H128" s="4">
        <v>71711</v>
      </c>
      <c r="I128" s="4">
        <v>69346</v>
      </c>
      <c r="J128" s="4">
        <v>69346</v>
      </c>
      <c r="K128" s="4">
        <v>69346</v>
      </c>
      <c r="L128" s="4">
        <v>69346</v>
      </c>
      <c r="M128" s="4">
        <v>69346</v>
      </c>
      <c r="N128" s="4">
        <v>69346</v>
      </c>
      <c r="O128" s="4">
        <v>0</v>
      </c>
      <c r="P128" s="4">
        <v>71711</v>
      </c>
      <c r="Q128" s="4">
        <v>71711</v>
      </c>
      <c r="R128" s="4">
        <v>71711</v>
      </c>
      <c r="S128" s="4">
        <v>71711</v>
      </c>
      <c r="T128" s="4">
        <v>71711</v>
      </c>
      <c r="U128" s="4">
        <v>71711</v>
      </c>
      <c r="V128" s="4">
        <v>71711</v>
      </c>
      <c r="W128" s="4">
        <v>71711</v>
      </c>
      <c r="X128" s="42">
        <f t="shared" si="70"/>
        <v>0</v>
      </c>
      <c r="Y128" s="58">
        <f t="shared" si="78"/>
        <v>0</v>
      </c>
      <c r="Z128" s="4">
        <f t="shared" ref="Z128" si="80">+O128</f>
        <v>0</v>
      </c>
      <c r="AA128" s="69">
        <f t="shared" si="79"/>
        <v>0</v>
      </c>
    </row>
    <row r="129" spans="2:29" ht="15" hidden="1" x14ac:dyDescent="0.35">
      <c r="C129" t="s">
        <v>92</v>
      </c>
      <c r="E129" s="16" t="s">
        <v>215</v>
      </c>
      <c r="F129" s="11">
        <v>7500310</v>
      </c>
      <c r="G129" s="6">
        <v>46000</v>
      </c>
      <c r="H129" s="4">
        <f>0.03*H12*0</f>
        <v>0</v>
      </c>
      <c r="I129" s="4">
        <f>0.03*I12*0</f>
        <v>0</v>
      </c>
      <c r="J129" s="4">
        <f>0.03*J12</f>
        <v>300</v>
      </c>
      <c r="K129" s="4">
        <f>0.03*K12</f>
        <v>300</v>
      </c>
      <c r="L129" s="4">
        <f>0.03*L12</f>
        <v>300</v>
      </c>
      <c r="M129" s="14" t="str">
        <f t="shared" si="69"/>
        <v>*</v>
      </c>
      <c r="X129"/>
      <c r="Y129" s="8"/>
      <c r="Z129"/>
      <c r="AA129" s="56">
        <f t="shared" ref="AA129:AA135" si="81">+Q129/$O$17</f>
        <v>0</v>
      </c>
    </row>
    <row r="130" spans="2:29" ht="15" x14ac:dyDescent="0.35">
      <c r="B130" s="5" t="s">
        <v>23</v>
      </c>
      <c r="C130" s="5"/>
      <c r="D130" s="5"/>
      <c r="E130" s="9"/>
      <c r="F130" s="11"/>
      <c r="G130" s="8">
        <f>SUBTOTAL(9,G119:G128)</f>
        <v>194862.8</v>
      </c>
      <c r="H130" s="8">
        <f>SUM(H119:H129)</f>
        <v>195317.7</v>
      </c>
      <c r="I130" s="6" t="e">
        <f t="shared" ref="I130:N130" si="82">SUM(I119:I129)</f>
        <v>#REF!</v>
      </c>
      <c r="J130" s="6" t="e">
        <f t="shared" si="82"/>
        <v>#REF!</v>
      </c>
      <c r="K130" s="6" t="e">
        <f t="shared" si="82"/>
        <v>#REF!</v>
      </c>
      <c r="L130" s="6" t="e">
        <f t="shared" si="82"/>
        <v>#REF!</v>
      </c>
      <c r="M130" s="6" t="e">
        <f t="shared" si="82"/>
        <v>#REF!</v>
      </c>
      <c r="N130" s="6">
        <f t="shared" si="82"/>
        <v>66225.429999999993</v>
      </c>
      <c r="O130" s="8">
        <f t="shared" ref="O130:X130" si="83">SUM(O119:O129)</f>
        <v>191562.06000000003</v>
      </c>
      <c r="P130" s="8">
        <f t="shared" si="83"/>
        <v>276339.59999999998</v>
      </c>
      <c r="Q130" s="8">
        <f t="shared" si="83"/>
        <v>276339.59999999998</v>
      </c>
      <c r="R130" s="8">
        <f t="shared" si="83"/>
        <v>276339.59999999998</v>
      </c>
      <c r="S130" s="8">
        <f t="shared" si="83"/>
        <v>253573.52500000002</v>
      </c>
      <c r="T130" s="8">
        <f t="shared" si="83"/>
        <v>241339.6</v>
      </c>
      <c r="U130" s="8">
        <f t="shared" si="83"/>
        <v>286237.44</v>
      </c>
      <c r="V130" s="8">
        <f t="shared" si="83"/>
        <v>286237.44</v>
      </c>
      <c r="W130" s="8">
        <f t="shared" si="83"/>
        <v>291134.44</v>
      </c>
      <c r="X130" s="8">
        <f t="shared" si="83"/>
        <v>15963.505000000003</v>
      </c>
      <c r="Y130" s="56">
        <f t="shared" ref="Y130:Y133" si="84">+O130/$O$17</f>
        <v>3.623611178368432E-2</v>
      </c>
      <c r="Z130" s="8">
        <f>SUBTOTAL(9,Z119:Z128)</f>
        <v>228805.48740740743</v>
      </c>
      <c r="AA130" s="8">
        <f t="shared" ref="AA130:AC130" si="85">SUBTOTAL(9,AA119:AA128)</f>
        <v>4.0880627644991126E-2</v>
      </c>
      <c r="AB130" s="8">
        <f t="shared" si="85"/>
        <v>0</v>
      </c>
      <c r="AC130" s="8">
        <f t="shared" si="85"/>
        <v>0</v>
      </c>
    </row>
    <row r="131" spans="2:29" ht="14.25" customHeight="1" x14ac:dyDescent="0.2">
      <c r="F131" s="26"/>
      <c r="G131" s="1"/>
      <c r="H131" s="3"/>
      <c r="I131" s="3"/>
      <c r="M131" s="14" t="e">
        <f>IF(M130="*","*","")</f>
        <v>#REF!</v>
      </c>
      <c r="P131" s="1"/>
      <c r="Q131" s="1"/>
      <c r="R131" s="1"/>
      <c r="S131" s="1"/>
      <c r="T131" s="1"/>
      <c r="U131" s="1"/>
      <c r="V131" s="1"/>
      <c r="W131" s="1"/>
      <c r="AA131" s="57"/>
    </row>
    <row r="132" spans="2:29" x14ac:dyDescent="0.2">
      <c r="B132" s="5" t="s">
        <v>26</v>
      </c>
      <c r="F132" s="27">
        <v>7300</v>
      </c>
      <c r="G132" s="1"/>
      <c r="H132" s="3"/>
      <c r="I132" s="3"/>
      <c r="M132" s="21" t="e">
        <f>IF(M153="*","*","")</f>
        <v>#REF!</v>
      </c>
      <c r="P132" s="1"/>
      <c r="Q132" s="1"/>
      <c r="R132" s="1"/>
      <c r="S132" s="1"/>
      <c r="T132" s="1"/>
      <c r="U132" s="1"/>
      <c r="V132" s="1"/>
      <c r="W132" s="1"/>
      <c r="AA132" s="57"/>
    </row>
    <row r="133" spans="2:29" x14ac:dyDescent="0.2">
      <c r="C133" t="s">
        <v>227</v>
      </c>
      <c r="E133" s="3" t="s">
        <v>210</v>
      </c>
      <c r="F133" s="27">
        <v>7300110</v>
      </c>
      <c r="G133" s="1">
        <v>102000</v>
      </c>
      <c r="H133" s="14">
        <v>102000</v>
      </c>
      <c r="I133" s="14">
        <f>+H133*Inf</f>
        <v>105060</v>
      </c>
      <c r="J133" s="14">
        <f t="shared" ref="J133:L134" si="86">+I133*Inf</f>
        <v>108211.8</v>
      </c>
      <c r="K133" s="14">
        <f t="shared" si="86"/>
        <v>111458.15400000001</v>
      </c>
      <c r="L133" s="14">
        <f t="shared" si="86"/>
        <v>114801.89862000001</v>
      </c>
      <c r="M133" s="14" t="str">
        <f t="shared" si="69"/>
        <v>*</v>
      </c>
      <c r="O133" s="14">
        <v>200000</v>
      </c>
      <c r="P133" s="14">
        <f>O133*1.01</f>
        <v>202000</v>
      </c>
      <c r="Q133" s="14">
        <f>P133*1.01</f>
        <v>204020</v>
      </c>
      <c r="R133" s="14">
        <f t="shared" ref="R133:W133" si="87">Q133*1.01</f>
        <v>206060.2</v>
      </c>
      <c r="S133" s="14">
        <f t="shared" si="87"/>
        <v>208120.80200000003</v>
      </c>
      <c r="T133" s="14">
        <f t="shared" si="87"/>
        <v>210202.01002000002</v>
      </c>
      <c r="U133" s="14">
        <f t="shared" si="87"/>
        <v>212304.03012020001</v>
      </c>
      <c r="V133" s="14">
        <f t="shared" si="87"/>
        <v>214427.07042140202</v>
      </c>
      <c r="W133" s="14">
        <f t="shared" si="87"/>
        <v>216571.34112561605</v>
      </c>
      <c r="X133" s="42">
        <f t="shared" ref="X133:X136" si="88">O133/12</f>
        <v>16666.666666666668</v>
      </c>
      <c r="Y133" s="57">
        <f t="shared" si="84"/>
        <v>3.7832242755882158E-2</v>
      </c>
      <c r="Z133" s="1">
        <f>Salaries!E25</f>
        <v>206000</v>
      </c>
      <c r="AA133" s="57">
        <f t="shared" ref="AA133" si="89">+Z133/Z$17</f>
        <v>3.6805976072912729E-2</v>
      </c>
      <c r="AB133" s="36" t="s">
        <v>312</v>
      </c>
    </row>
    <row r="134" spans="2:29" ht="15" hidden="1" x14ac:dyDescent="0.35">
      <c r="C134" t="s">
        <v>132</v>
      </c>
      <c r="E134" s="3" t="s">
        <v>210</v>
      </c>
      <c r="F134" s="3">
        <v>7600</v>
      </c>
      <c r="G134" s="4">
        <v>189</v>
      </c>
      <c r="H134" s="14" t="e">
        <f>+#REF!</f>
        <v>#REF!</v>
      </c>
      <c r="I134" s="14">
        <f>60000*Inf*0</f>
        <v>0</v>
      </c>
      <c r="J134" s="14">
        <f t="shared" si="86"/>
        <v>0</v>
      </c>
      <c r="K134" s="14">
        <f t="shared" si="86"/>
        <v>0</v>
      </c>
      <c r="L134" s="14">
        <f t="shared" si="86"/>
        <v>0</v>
      </c>
      <c r="M134" s="14" t="e">
        <f t="shared" si="69"/>
        <v>#REF!</v>
      </c>
      <c r="O134" s="4">
        <v>60555</v>
      </c>
      <c r="P134" s="4">
        <v>60555</v>
      </c>
      <c r="Q134" s="4">
        <v>60555</v>
      </c>
      <c r="X134">
        <f t="shared" si="88"/>
        <v>5046.25</v>
      </c>
      <c r="Y134" s="4"/>
      <c r="Z134"/>
      <c r="AA134" s="58">
        <f t="shared" si="81"/>
        <v>1.1454657300412219E-2</v>
      </c>
    </row>
    <row r="135" spans="2:29" ht="15" hidden="1" x14ac:dyDescent="0.35">
      <c r="C135" t="s">
        <v>133</v>
      </c>
      <c r="E135" s="3" t="s">
        <v>218</v>
      </c>
      <c r="G135" s="6">
        <v>8935</v>
      </c>
      <c r="H135" s="14" t="e">
        <f>+#REF!</f>
        <v>#REF!</v>
      </c>
      <c r="I135" s="14" t="e">
        <f>+H135*Inf*3</f>
        <v>#REF!</v>
      </c>
      <c r="J135" s="14" t="e">
        <f>+I135*Inf</f>
        <v>#REF!</v>
      </c>
      <c r="K135" s="14" t="e">
        <f>#REF!*Inf^3*0</f>
        <v>#REF!</v>
      </c>
      <c r="L135" s="14" t="e">
        <f>+K135*Inf</f>
        <v>#REF!</v>
      </c>
      <c r="M135" s="14" t="e">
        <f t="shared" si="69"/>
        <v>#REF!</v>
      </c>
      <c r="O135" s="8">
        <v>162555</v>
      </c>
      <c r="P135" s="8">
        <v>162555</v>
      </c>
      <c r="Q135" s="8">
        <v>162555</v>
      </c>
      <c r="X135">
        <f t="shared" si="88"/>
        <v>13546.25</v>
      </c>
      <c r="Y135" s="8"/>
      <c r="Z135"/>
      <c r="AA135" s="56">
        <f t="shared" si="81"/>
        <v>3.074910110591212E-2</v>
      </c>
    </row>
    <row r="136" spans="2:29" ht="15" x14ac:dyDescent="0.35">
      <c r="C136" t="s">
        <v>253</v>
      </c>
      <c r="E136" s="3" t="s">
        <v>210</v>
      </c>
      <c r="F136" s="3">
        <v>7300160</v>
      </c>
      <c r="G136" s="4">
        <v>60555</v>
      </c>
      <c r="H136" s="4">
        <v>60055</v>
      </c>
      <c r="I136" s="4" t="e">
        <f>+#REF!*Inf+#REF!+30000*Inf*Inf*0.65</f>
        <v>#REF!</v>
      </c>
      <c r="J136" s="4" t="e">
        <f>+I136*Inf</f>
        <v>#REF!</v>
      </c>
      <c r="K136" s="4" t="e">
        <f>+J136*Inf+30000*Inf^3*0</f>
        <v>#REF!</v>
      </c>
      <c r="L136" s="4" t="e">
        <f>+K136*Inf</f>
        <v>#REF!</v>
      </c>
      <c r="M136" s="14" t="e">
        <f t="shared" si="69"/>
        <v>#REF!</v>
      </c>
      <c r="O136" s="4">
        <v>161300</v>
      </c>
      <c r="P136" s="4">
        <f>O136*1.01</f>
        <v>162913</v>
      </c>
      <c r="Q136" s="4">
        <f t="shared" ref="Q136:W136" si="90">P136*1.01</f>
        <v>164542.13</v>
      </c>
      <c r="R136" s="4">
        <f t="shared" si="90"/>
        <v>166187.55129999999</v>
      </c>
      <c r="S136" s="4">
        <f t="shared" si="90"/>
        <v>167849.426813</v>
      </c>
      <c r="T136" s="4">
        <f t="shared" si="90"/>
        <v>169527.92108112999</v>
      </c>
      <c r="U136" s="4">
        <f t="shared" si="90"/>
        <v>171223.20029194129</v>
      </c>
      <c r="V136" s="4">
        <f t="shared" si="90"/>
        <v>172935.43229486072</v>
      </c>
      <c r="W136" s="4">
        <f t="shared" si="90"/>
        <v>174664.78661780932</v>
      </c>
      <c r="X136" s="42">
        <f t="shared" si="88"/>
        <v>13441.666666666666</v>
      </c>
      <c r="Y136" s="58">
        <f t="shared" ref="Y136:Y157" si="91">+O136/$O$17</f>
        <v>3.051170378261896E-2</v>
      </c>
      <c r="Z136" s="4">
        <f>Salaries!E27+Salaries!E28+Salaries!E29</f>
        <v>145500</v>
      </c>
      <c r="AA136" s="69">
        <f t="shared" ref="AA136:AA157" si="92">+Z136/Z$17</f>
        <v>2.5996453973829135E-2</v>
      </c>
      <c r="AB136" s="36" t="s">
        <v>312</v>
      </c>
    </row>
    <row r="137" spans="2:29" ht="15" x14ac:dyDescent="0.35">
      <c r="D137" s="5" t="s">
        <v>27</v>
      </c>
      <c r="E137" s="9"/>
      <c r="G137" s="8">
        <f>SUBTOTAL(9,G133:G136)</f>
        <v>162555</v>
      </c>
      <c r="H137" s="8" t="e">
        <f>SUM(H133:H136)</f>
        <v>#REF!</v>
      </c>
      <c r="I137" s="6" t="e">
        <f t="shared" ref="I137:N137" si="93">SUM(I133:I136)</f>
        <v>#REF!</v>
      </c>
      <c r="J137" s="6" t="e">
        <f t="shared" si="93"/>
        <v>#REF!</v>
      </c>
      <c r="K137" s="6" t="e">
        <f t="shared" si="93"/>
        <v>#REF!</v>
      </c>
      <c r="L137" s="6" t="e">
        <f t="shared" si="93"/>
        <v>#REF!</v>
      </c>
      <c r="M137" s="6" t="e">
        <f t="shared" si="93"/>
        <v>#REF!</v>
      </c>
      <c r="N137" s="6">
        <f t="shared" si="93"/>
        <v>0</v>
      </c>
      <c r="O137" s="8">
        <f>SUBTOTAL(9,O133:O136)</f>
        <v>361300</v>
      </c>
      <c r="P137" s="8">
        <f t="shared" ref="P137:X137" si="94">SUBTOTAL(9,P133:P136)</f>
        <v>364913</v>
      </c>
      <c r="Q137" s="8">
        <f t="shared" si="94"/>
        <v>368562.13</v>
      </c>
      <c r="R137" s="8">
        <f t="shared" si="94"/>
        <v>372247.7513</v>
      </c>
      <c r="S137" s="8">
        <f t="shared" si="94"/>
        <v>375970.22881300002</v>
      </c>
      <c r="T137" s="8">
        <f t="shared" si="94"/>
        <v>379729.93110112997</v>
      </c>
      <c r="U137" s="8">
        <f t="shared" si="94"/>
        <v>383527.2304121413</v>
      </c>
      <c r="V137" s="8">
        <f t="shared" si="94"/>
        <v>387362.50271626271</v>
      </c>
      <c r="W137" s="8">
        <f t="shared" si="94"/>
        <v>391236.12774342537</v>
      </c>
      <c r="X137" s="8">
        <f t="shared" si="94"/>
        <v>30108.333333333336</v>
      </c>
      <c r="Y137" s="56">
        <f t="shared" si="91"/>
        <v>6.8343946538501121E-2</v>
      </c>
      <c r="Z137" s="8">
        <f>SUBTOTAL(9,Z133:Z136)</f>
        <v>351500</v>
      </c>
      <c r="AA137" s="8">
        <f t="shared" ref="AA137:AC137" si="95">SUBTOTAL(9,AA133:AA136)</f>
        <v>6.2802430046741867E-2</v>
      </c>
      <c r="AB137" s="8">
        <f t="shared" si="95"/>
        <v>0</v>
      </c>
      <c r="AC137" s="8">
        <f t="shared" si="95"/>
        <v>0</v>
      </c>
    </row>
    <row r="138" spans="2:29" x14ac:dyDescent="0.2">
      <c r="C138" t="s">
        <v>7</v>
      </c>
      <c r="E138" s="22">
        <v>1.4999999999999999E-2</v>
      </c>
      <c r="F138" s="3">
        <v>7300210</v>
      </c>
      <c r="G138" s="1"/>
      <c r="H138" s="14">
        <v>5927</v>
      </c>
      <c r="I138" s="14" t="e">
        <f>+I137*0.015</f>
        <v>#REF!</v>
      </c>
      <c r="J138" s="14" t="e">
        <f>+J137*0.015</f>
        <v>#REF!</v>
      </c>
      <c r="K138" s="14" t="e">
        <f>+K137*0.015</f>
        <v>#REF!</v>
      </c>
      <c r="L138" s="14" t="e">
        <f>+L137*0.015</f>
        <v>#REF!</v>
      </c>
      <c r="M138" s="14" t="e">
        <f t="shared" si="69"/>
        <v>#REF!</v>
      </c>
      <c r="O138" s="1">
        <v>2500</v>
      </c>
      <c r="P138" s="1">
        <f t="shared" ref="P138:X138" si="96">P137*0.02</f>
        <v>7298.26</v>
      </c>
      <c r="Q138" s="1">
        <f t="shared" si="96"/>
        <v>7371.2426000000005</v>
      </c>
      <c r="R138" s="1">
        <f t="shared" si="96"/>
        <v>7444.9550260000005</v>
      </c>
      <c r="S138" s="1">
        <f t="shared" si="96"/>
        <v>7519.4045762600008</v>
      </c>
      <c r="T138" s="1">
        <f t="shared" si="96"/>
        <v>7594.5986220225996</v>
      </c>
      <c r="U138" s="1">
        <f t="shared" si="96"/>
        <v>7670.5446082428261</v>
      </c>
      <c r="V138" s="1">
        <f t="shared" si="96"/>
        <v>7747.2500543252545</v>
      </c>
      <c r="W138" s="1">
        <f t="shared" si="96"/>
        <v>7824.7225548685074</v>
      </c>
      <c r="X138" s="1">
        <f t="shared" si="96"/>
        <v>602.16666666666674</v>
      </c>
      <c r="Y138" s="57">
        <f t="shared" si="91"/>
        <v>4.7290303444852698E-4</v>
      </c>
      <c r="Z138" s="1">
        <f>8*500</f>
        <v>4000</v>
      </c>
      <c r="AA138" s="57">
        <f t="shared" si="92"/>
        <v>7.1467914704684905E-4</v>
      </c>
      <c r="AB138" s="36" t="s">
        <v>315</v>
      </c>
    </row>
    <row r="139" spans="2:29" x14ac:dyDescent="0.2">
      <c r="C139" t="s">
        <v>8</v>
      </c>
      <c r="E139" s="3" t="s">
        <v>52</v>
      </c>
      <c r="F139" s="3">
        <v>7300220</v>
      </c>
      <c r="G139" s="14">
        <f>+G137*0.0765</f>
        <v>12435.4575</v>
      </c>
      <c r="H139" s="14" t="e">
        <f>+H137*0.0765</f>
        <v>#REF!</v>
      </c>
      <c r="I139" s="14" t="e">
        <f>+I137*0.0765+0.027*(#REF!+#REF!+0)*7000</f>
        <v>#REF!</v>
      </c>
      <c r="J139" s="14" t="e">
        <f>+J137*0.0765+0.027*(#REF!+#REF!+0)*7000</f>
        <v>#REF!</v>
      </c>
      <c r="K139" s="14" t="e">
        <f>+K137*0.0765+0.027*(#REF!+#REF!+0)*7000</f>
        <v>#REF!</v>
      </c>
      <c r="L139" s="14" t="e">
        <f>+L137*0.0765+0.027*(#REF!+#REF!+0)*7000</f>
        <v>#REF!</v>
      </c>
      <c r="M139" s="14" t="e">
        <f t="shared" si="69"/>
        <v>#REF!</v>
      </c>
      <c r="O139" s="14">
        <f>O137*0.0765</f>
        <v>27639.45</v>
      </c>
      <c r="P139" s="14">
        <f t="shared" ref="P139:X139" si="97">+P137*0.0765</f>
        <v>27915.844499999999</v>
      </c>
      <c r="Q139" s="14">
        <f t="shared" si="97"/>
        <v>28195.002945</v>
      </c>
      <c r="R139" s="14">
        <f t="shared" si="97"/>
        <v>28476.95297445</v>
      </c>
      <c r="S139" s="14">
        <f t="shared" si="97"/>
        <v>28761.722504194502</v>
      </c>
      <c r="T139" s="14">
        <f t="shared" si="97"/>
        <v>29049.339729236443</v>
      </c>
      <c r="U139" s="14">
        <f t="shared" si="97"/>
        <v>29339.833126528811</v>
      </c>
      <c r="V139" s="14">
        <f t="shared" si="97"/>
        <v>29633.231457794096</v>
      </c>
      <c r="W139" s="14">
        <f t="shared" si="97"/>
        <v>29929.563772372039</v>
      </c>
      <c r="X139" s="14">
        <f t="shared" si="97"/>
        <v>2303.2875000000004</v>
      </c>
      <c r="Y139" s="57">
        <f t="shared" si="91"/>
        <v>5.2283119101953351E-3</v>
      </c>
      <c r="Z139" s="14">
        <f>Z137*0.0765</f>
        <v>26889.75</v>
      </c>
      <c r="AA139" s="57">
        <f t="shared" si="92"/>
        <v>4.8043858985757524E-3</v>
      </c>
    </row>
    <row r="140" spans="2:29" ht="12.75" customHeight="1" x14ac:dyDescent="0.2">
      <c r="C140" t="s">
        <v>9</v>
      </c>
      <c r="E140" s="23" t="str">
        <f>CONCATENATE("$",ins*2," per month per employee / 50% participation")</f>
        <v>$533.333333333333 per month per employee / 50% participation</v>
      </c>
      <c r="F140" s="3">
        <v>7300230</v>
      </c>
      <c r="G140" s="14">
        <v>10000</v>
      </c>
      <c r="H140" s="14">
        <v>10000</v>
      </c>
      <c r="I140" s="14" t="e">
        <f>(#REF!+#REF!+0)*ins*12*Inf</f>
        <v>#REF!</v>
      </c>
      <c r="J140" s="14" t="e">
        <f>(#REF!+#REF!+0)*ins*12*Inf^2</f>
        <v>#REF!</v>
      </c>
      <c r="K140" s="14" t="e">
        <f>(#REF!+#REF!+0)*ins*12*Inf^3</f>
        <v>#REF!</v>
      </c>
      <c r="L140" s="14" t="e">
        <f>(#REF!+#REF!+0)*ins*12*Inf^4</f>
        <v>#REF!</v>
      </c>
      <c r="M140" s="14" t="e">
        <f t="shared" si="69"/>
        <v>#REF!</v>
      </c>
      <c r="O140" s="14">
        <v>17604</v>
      </c>
      <c r="P140" s="14">
        <v>18000</v>
      </c>
      <c r="Q140" s="14">
        <v>18000</v>
      </c>
      <c r="R140" s="14">
        <v>18000</v>
      </c>
      <c r="S140" s="14">
        <v>18000</v>
      </c>
      <c r="T140" s="14">
        <v>18000</v>
      </c>
      <c r="U140" s="14">
        <v>18000</v>
      </c>
      <c r="V140" s="14">
        <v>18000</v>
      </c>
      <c r="W140" s="14">
        <v>18000</v>
      </c>
      <c r="X140" s="42">
        <f t="shared" ref="X140" si="98">O140/12</f>
        <v>1467</v>
      </c>
      <c r="Y140" s="57">
        <f t="shared" si="91"/>
        <v>3.3299940073727476E-3</v>
      </c>
      <c r="Z140" s="1">
        <f>23000*1.01</f>
        <v>23230</v>
      </c>
      <c r="AA140" s="57">
        <f t="shared" si="92"/>
        <v>4.1504991464745757E-3</v>
      </c>
      <c r="AB140" s="36" t="s">
        <v>313</v>
      </c>
    </row>
    <row r="141" spans="2:29" ht="15" x14ac:dyDescent="0.35">
      <c r="C141" t="s">
        <v>10</v>
      </c>
      <c r="E141" s="11" t="s">
        <v>53</v>
      </c>
      <c r="F141" s="3">
        <v>7300240</v>
      </c>
      <c r="G141" s="30">
        <f>+G137*0.0057</f>
        <v>926.56350000000009</v>
      </c>
      <c r="H141" s="30" t="e">
        <f>+H137*0.0057</f>
        <v>#REF!</v>
      </c>
      <c r="I141" s="4" t="e">
        <f>+I137*0.01</f>
        <v>#REF!</v>
      </c>
      <c r="J141" s="4" t="e">
        <f>+J137*0.01</f>
        <v>#REF!</v>
      </c>
      <c r="K141" s="4" t="e">
        <f>+K137*0.01</f>
        <v>#REF!</v>
      </c>
      <c r="L141" s="4" t="e">
        <f>+L137*0.01</f>
        <v>#REF!</v>
      </c>
      <c r="M141" s="14" t="e">
        <f t="shared" si="69"/>
        <v>#REF!</v>
      </c>
      <c r="O141" s="30">
        <f>+O137*0.0057</f>
        <v>2059.41</v>
      </c>
      <c r="P141" s="30">
        <f t="shared" ref="P141:X141" si="99">+P137*0.006</f>
        <v>2189.4780000000001</v>
      </c>
      <c r="Q141" s="30">
        <f t="shared" si="99"/>
        <v>2211.3727800000001</v>
      </c>
      <c r="R141" s="30">
        <f t="shared" si="99"/>
        <v>2233.4865078000003</v>
      </c>
      <c r="S141" s="30">
        <f t="shared" si="99"/>
        <v>2255.8213728780001</v>
      </c>
      <c r="T141" s="30">
        <f t="shared" si="99"/>
        <v>2278.3795866067799</v>
      </c>
      <c r="U141" s="30">
        <f t="shared" si="99"/>
        <v>2301.1633824728478</v>
      </c>
      <c r="V141" s="30">
        <f t="shared" si="99"/>
        <v>2324.1750162975763</v>
      </c>
      <c r="W141" s="30">
        <f t="shared" si="99"/>
        <v>2347.4167664605525</v>
      </c>
      <c r="X141" s="30">
        <f t="shared" si="99"/>
        <v>180.65</v>
      </c>
      <c r="Y141" s="57">
        <f t="shared" si="91"/>
        <v>3.8956049526945636E-4</v>
      </c>
      <c r="Z141" s="1">
        <f>+O141</f>
        <v>2059.41</v>
      </c>
      <c r="AA141" s="57">
        <f t="shared" si="92"/>
        <v>3.6795434555493783E-4</v>
      </c>
    </row>
    <row r="142" spans="2:29" ht="15" x14ac:dyDescent="0.35">
      <c r="C142" s="29" t="s">
        <v>269</v>
      </c>
      <c r="E142" s="11"/>
      <c r="F142" s="3">
        <v>7300250</v>
      </c>
      <c r="G142" s="4">
        <f>7000*0.027*3</f>
        <v>567</v>
      </c>
      <c r="H142" s="4">
        <f>7000*0.027*3</f>
        <v>567</v>
      </c>
      <c r="I142" s="4"/>
      <c r="J142" s="4"/>
      <c r="K142" s="4"/>
      <c r="L142" s="4"/>
      <c r="M142" s="14"/>
      <c r="O142" s="4">
        <f>7000*0.027*5</f>
        <v>945</v>
      </c>
      <c r="P142" s="4">
        <f t="shared" ref="P142:X142" si="100">7000*0.027*5</f>
        <v>945</v>
      </c>
      <c r="Q142" s="4">
        <f t="shared" si="100"/>
        <v>945</v>
      </c>
      <c r="R142" s="4">
        <f t="shared" si="100"/>
        <v>945</v>
      </c>
      <c r="S142" s="4">
        <f t="shared" si="100"/>
        <v>945</v>
      </c>
      <c r="T142" s="4">
        <f t="shared" si="100"/>
        <v>945</v>
      </c>
      <c r="U142" s="4">
        <f t="shared" si="100"/>
        <v>945</v>
      </c>
      <c r="V142" s="4">
        <f t="shared" si="100"/>
        <v>945</v>
      </c>
      <c r="W142" s="4">
        <f t="shared" si="100"/>
        <v>945</v>
      </c>
      <c r="X142" s="4">
        <f t="shared" si="100"/>
        <v>945</v>
      </c>
      <c r="Y142" s="58">
        <f t="shared" si="91"/>
        <v>1.7875734702154318E-4</v>
      </c>
      <c r="Z142" s="4">
        <f>+O142</f>
        <v>945</v>
      </c>
      <c r="AA142" s="69">
        <f t="shared" si="92"/>
        <v>1.6884294848981809E-4</v>
      </c>
    </row>
    <row r="143" spans="2:29" ht="15" x14ac:dyDescent="0.35">
      <c r="D143" s="5" t="s">
        <v>28</v>
      </c>
      <c r="E143" s="9"/>
      <c r="G143" s="8">
        <f>SUBTOTAL(9,G138:G142)</f>
        <v>23929.021000000001</v>
      </c>
      <c r="H143" s="8" t="e">
        <f>SUBTOTAL(9,H138:H142)</f>
        <v>#REF!</v>
      </c>
      <c r="I143" s="6" t="e">
        <f t="shared" ref="I143:X143" si="101">SUBTOTAL(9,I138:I142)</f>
        <v>#REF!</v>
      </c>
      <c r="J143" s="6" t="e">
        <f t="shared" si="101"/>
        <v>#REF!</v>
      </c>
      <c r="K143" s="6" t="e">
        <f t="shared" si="101"/>
        <v>#REF!</v>
      </c>
      <c r="L143" s="6" t="e">
        <f t="shared" si="101"/>
        <v>#REF!</v>
      </c>
      <c r="M143" s="6" t="e">
        <f t="shared" si="101"/>
        <v>#REF!</v>
      </c>
      <c r="N143" s="6">
        <f t="shared" si="101"/>
        <v>0</v>
      </c>
      <c r="O143" s="8">
        <f t="shared" si="101"/>
        <v>50747.86</v>
      </c>
      <c r="P143" s="8">
        <f t="shared" si="101"/>
        <v>56348.582500000004</v>
      </c>
      <c r="Q143" s="8">
        <f t="shared" si="101"/>
        <v>56722.618324999996</v>
      </c>
      <c r="R143" s="8">
        <f t="shared" si="101"/>
        <v>57100.394508249999</v>
      </c>
      <c r="S143" s="8">
        <f t="shared" si="101"/>
        <v>57481.948453332509</v>
      </c>
      <c r="T143" s="8">
        <f t="shared" si="101"/>
        <v>57867.317937865824</v>
      </c>
      <c r="U143" s="8">
        <f t="shared" si="101"/>
        <v>58256.541117244487</v>
      </c>
      <c r="V143" s="8">
        <f t="shared" si="101"/>
        <v>58649.656528416926</v>
      </c>
      <c r="W143" s="8">
        <f t="shared" si="101"/>
        <v>59046.7030937011</v>
      </c>
      <c r="X143" s="8">
        <f t="shared" si="101"/>
        <v>5498.104166666667</v>
      </c>
      <c r="Y143" s="56">
        <f t="shared" si="91"/>
        <v>9.5995267943076099E-3</v>
      </c>
      <c r="Z143" s="8">
        <f>SUBTOTAL(9,Z138:Z142)</f>
        <v>57124.160000000003</v>
      </c>
      <c r="AA143" s="8">
        <f t="shared" ref="AA143:AC143" si="102">SUBTOTAL(9,AA138:AA142)</f>
        <v>1.0206361486141933E-2</v>
      </c>
      <c r="AB143" s="8">
        <f t="shared" si="102"/>
        <v>0</v>
      </c>
      <c r="AC143" s="8">
        <f t="shared" si="102"/>
        <v>0</v>
      </c>
    </row>
    <row r="144" spans="2:29" x14ac:dyDescent="0.2">
      <c r="C144" t="s">
        <v>12</v>
      </c>
      <c r="E144" s="3" t="s">
        <v>211</v>
      </c>
      <c r="F144" s="3">
        <v>7300330</v>
      </c>
      <c r="G144" s="14">
        <v>1250</v>
      </c>
      <c r="H144" s="14">
        <v>2250</v>
      </c>
      <c r="I144" s="14">
        <f t="shared" ref="I144:L149" si="103">+H144*Inf</f>
        <v>2317.5</v>
      </c>
      <c r="J144" s="14">
        <f t="shared" si="103"/>
        <v>2387.0250000000001</v>
      </c>
      <c r="K144" s="14">
        <f t="shared" si="103"/>
        <v>2458.6357500000004</v>
      </c>
      <c r="L144" s="14">
        <f t="shared" si="103"/>
        <v>2532.3948225000004</v>
      </c>
      <c r="M144" s="14" t="str">
        <f t="shared" si="69"/>
        <v>*</v>
      </c>
      <c r="O144" s="14">
        <v>2500</v>
      </c>
      <c r="P144" s="14">
        <v>2500</v>
      </c>
      <c r="Q144" s="14">
        <v>2500</v>
      </c>
      <c r="R144" s="14">
        <v>2500</v>
      </c>
      <c r="S144" s="14">
        <v>2500</v>
      </c>
      <c r="T144" s="14">
        <v>2500</v>
      </c>
      <c r="U144" s="14">
        <v>2500</v>
      </c>
      <c r="V144" s="14">
        <v>2500</v>
      </c>
      <c r="W144" s="14">
        <v>2500</v>
      </c>
      <c r="X144" s="42">
        <f t="shared" ref="X144:X151" si="104">O144/12</f>
        <v>208.33333333333334</v>
      </c>
      <c r="Y144" s="57">
        <f t="shared" si="91"/>
        <v>4.7290303444852698E-4</v>
      </c>
      <c r="Z144" s="1">
        <f>+O144</f>
        <v>2500</v>
      </c>
      <c r="AA144" s="57">
        <f t="shared" si="92"/>
        <v>4.4667446690428069E-4</v>
      </c>
    </row>
    <row r="145" spans="2:28" x14ac:dyDescent="0.2">
      <c r="C145" t="s">
        <v>29</v>
      </c>
      <c r="E145" s="3" t="s">
        <v>217</v>
      </c>
      <c r="F145" s="3">
        <v>7300360</v>
      </c>
      <c r="G145" s="14">
        <v>0</v>
      </c>
      <c r="H145" s="14">
        <v>0</v>
      </c>
      <c r="I145" s="14">
        <f t="shared" si="103"/>
        <v>0</v>
      </c>
      <c r="J145" s="14">
        <f t="shared" si="103"/>
        <v>0</v>
      </c>
      <c r="K145" s="14">
        <f t="shared" si="103"/>
        <v>0</v>
      </c>
      <c r="L145" s="14">
        <f t="shared" si="103"/>
        <v>0</v>
      </c>
      <c r="M145" s="14" t="str">
        <f t="shared" si="69"/>
        <v/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42">
        <f t="shared" si="104"/>
        <v>0</v>
      </c>
      <c r="Y145" s="57">
        <f t="shared" si="91"/>
        <v>0</v>
      </c>
      <c r="Z145" s="1">
        <f t="shared" ref="Z145:Z150" si="105">+O145</f>
        <v>0</v>
      </c>
      <c r="AA145" s="57">
        <f t="shared" si="92"/>
        <v>0</v>
      </c>
    </row>
    <row r="146" spans="2:28" x14ac:dyDescent="0.2">
      <c r="C146" t="s">
        <v>30</v>
      </c>
      <c r="E146" s="3" t="s">
        <v>229</v>
      </c>
      <c r="F146" s="3">
        <v>7300370</v>
      </c>
      <c r="G146" s="30">
        <v>1500</v>
      </c>
      <c r="H146" s="30">
        <v>1500</v>
      </c>
      <c r="I146" s="14">
        <f>+H146*Inf</f>
        <v>1545</v>
      </c>
      <c r="J146" s="14">
        <f>+I146*Inf</f>
        <v>1591.3500000000001</v>
      </c>
      <c r="K146" s="14">
        <f t="shared" si="103"/>
        <v>1639.0905000000002</v>
      </c>
      <c r="L146" s="14">
        <f t="shared" si="103"/>
        <v>1688.2632150000004</v>
      </c>
      <c r="M146" s="14" t="str">
        <f t="shared" si="69"/>
        <v>*</v>
      </c>
      <c r="O146" s="30">
        <v>3000</v>
      </c>
      <c r="P146" s="30">
        <v>3000</v>
      </c>
      <c r="Q146" s="30">
        <v>3000</v>
      </c>
      <c r="R146" s="30">
        <v>3000</v>
      </c>
      <c r="S146" s="30">
        <v>3000</v>
      </c>
      <c r="T146" s="30">
        <v>3000</v>
      </c>
      <c r="U146" s="30">
        <v>3000</v>
      </c>
      <c r="V146" s="30">
        <v>3000</v>
      </c>
      <c r="W146" s="30">
        <v>3000</v>
      </c>
      <c r="X146" s="42">
        <f t="shared" si="104"/>
        <v>250</v>
      </c>
      <c r="Y146" s="57">
        <f t="shared" si="91"/>
        <v>5.6748364133823233E-4</v>
      </c>
      <c r="Z146" s="1">
        <f t="shared" si="105"/>
        <v>3000</v>
      </c>
      <c r="AA146" s="57">
        <f t="shared" si="92"/>
        <v>5.3600936028513685E-4</v>
      </c>
    </row>
    <row r="147" spans="2:28" x14ac:dyDescent="0.2">
      <c r="C147" t="s">
        <v>250</v>
      </c>
      <c r="E147" s="3" t="s">
        <v>211</v>
      </c>
      <c r="F147" s="3">
        <v>7300330</v>
      </c>
      <c r="G147" s="30"/>
      <c r="H147" s="30">
        <v>1000</v>
      </c>
      <c r="I147" s="30">
        <v>1000</v>
      </c>
      <c r="J147" s="30">
        <v>1000</v>
      </c>
      <c r="K147" s="30">
        <v>1000</v>
      </c>
      <c r="L147" s="30">
        <v>1000</v>
      </c>
      <c r="M147" s="30">
        <v>1000</v>
      </c>
      <c r="N147" s="30">
        <v>1000</v>
      </c>
      <c r="O147" s="30">
        <v>1000</v>
      </c>
      <c r="P147" s="30">
        <v>1000</v>
      </c>
      <c r="Q147" s="30">
        <v>1000</v>
      </c>
      <c r="R147" s="30">
        <v>1000</v>
      </c>
      <c r="S147" s="30">
        <v>1000</v>
      </c>
      <c r="T147" s="30">
        <v>1000</v>
      </c>
      <c r="U147" s="30">
        <v>1000</v>
      </c>
      <c r="V147" s="30">
        <v>1000</v>
      </c>
      <c r="W147" s="30">
        <v>1000</v>
      </c>
      <c r="X147" s="42">
        <f t="shared" si="104"/>
        <v>83.333333333333329</v>
      </c>
      <c r="Y147" s="57">
        <f t="shared" si="91"/>
        <v>1.8916121377941079E-4</v>
      </c>
      <c r="Z147" s="1">
        <f t="shared" si="105"/>
        <v>1000</v>
      </c>
      <c r="AA147" s="57">
        <f t="shared" si="92"/>
        <v>1.7866978676171226E-4</v>
      </c>
    </row>
    <row r="148" spans="2:28" x14ac:dyDescent="0.2">
      <c r="C148" s="29" t="s">
        <v>278</v>
      </c>
      <c r="F148" s="3">
        <v>7300390</v>
      </c>
      <c r="G148" s="8">
        <v>0</v>
      </c>
      <c r="H148" s="8">
        <v>0</v>
      </c>
      <c r="M148" s="14"/>
      <c r="O148" s="8">
        <v>0</v>
      </c>
      <c r="P148" s="8">
        <v>0</v>
      </c>
      <c r="Q148" s="8">
        <v>0</v>
      </c>
      <c r="R148" s="8">
        <v>0</v>
      </c>
      <c r="S148" s="8">
        <v>0</v>
      </c>
      <c r="T148" s="8">
        <v>0</v>
      </c>
      <c r="U148" s="8">
        <v>0</v>
      </c>
      <c r="V148" s="8">
        <v>0</v>
      </c>
      <c r="W148" s="8">
        <v>0</v>
      </c>
      <c r="X148" s="42">
        <f t="shared" si="104"/>
        <v>0</v>
      </c>
      <c r="Y148" s="57">
        <f t="shared" si="91"/>
        <v>0</v>
      </c>
      <c r="Z148" s="1">
        <v>10000</v>
      </c>
      <c r="AA148" s="57">
        <f t="shared" si="92"/>
        <v>1.7866978676171227E-3</v>
      </c>
    </row>
    <row r="149" spans="2:28" x14ac:dyDescent="0.2">
      <c r="C149" t="s">
        <v>13</v>
      </c>
      <c r="E149" s="3" t="s">
        <v>217</v>
      </c>
      <c r="F149" s="3">
        <v>7300510</v>
      </c>
      <c r="G149" s="14">
        <v>3000</v>
      </c>
      <c r="H149" s="14">
        <v>1000</v>
      </c>
      <c r="I149" s="14">
        <f>H149*Inf</f>
        <v>1030</v>
      </c>
      <c r="J149" s="14">
        <f>+I149*Inf</f>
        <v>1060.9000000000001</v>
      </c>
      <c r="K149" s="14">
        <f t="shared" si="103"/>
        <v>1092.7270000000001</v>
      </c>
      <c r="L149" s="14">
        <f t="shared" si="103"/>
        <v>1125.50881</v>
      </c>
      <c r="M149" s="14" t="str">
        <f t="shared" si="69"/>
        <v>*</v>
      </c>
      <c r="O149" s="14">
        <v>5000</v>
      </c>
      <c r="P149" s="14">
        <v>10000</v>
      </c>
      <c r="Q149" s="14">
        <v>10000</v>
      </c>
      <c r="R149" s="14">
        <v>10000</v>
      </c>
      <c r="S149" s="14">
        <v>10000</v>
      </c>
      <c r="T149" s="14">
        <v>10000</v>
      </c>
      <c r="U149" s="14">
        <v>10000</v>
      </c>
      <c r="V149" s="14">
        <v>10000</v>
      </c>
      <c r="W149" s="14">
        <v>10000</v>
      </c>
      <c r="X149" s="42">
        <f t="shared" si="104"/>
        <v>416.66666666666669</v>
      </c>
      <c r="Y149" s="57">
        <f t="shared" si="91"/>
        <v>9.4580606889705396E-4</v>
      </c>
      <c r="Z149" s="1">
        <v>10000</v>
      </c>
      <c r="AA149" s="57">
        <f t="shared" si="92"/>
        <v>1.7866978676171227E-3</v>
      </c>
    </row>
    <row r="150" spans="2:28" x14ac:dyDescent="0.2">
      <c r="C150" t="s">
        <v>15</v>
      </c>
      <c r="E150" s="3" t="s">
        <v>230</v>
      </c>
      <c r="F150" s="27">
        <v>7300641</v>
      </c>
      <c r="G150" s="14">
        <v>0</v>
      </c>
      <c r="H150" s="14">
        <v>0</v>
      </c>
      <c r="I150" s="14" t="e">
        <f>750*(10)*Inf+1750/10*(#REF!+#REF!)*Inf</f>
        <v>#REF!</v>
      </c>
      <c r="J150" s="14">
        <f>750*(5)*Inf^2+1750/10*(3)*Inf^2</f>
        <v>4535.3474999999999</v>
      </c>
      <c r="K150" s="14">
        <f>1750*(2)*Inf^3+1750/10*(3)*Inf^3</f>
        <v>4398.2261749999998</v>
      </c>
      <c r="L150" s="14">
        <f>1750*(2)*Inf^4+1750/10*(3)*Inf^4</f>
        <v>4530.17296025</v>
      </c>
      <c r="M150" s="14" t="e">
        <f t="shared" si="69"/>
        <v>#REF!</v>
      </c>
      <c r="O150" s="14">
        <v>2500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42">
        <f t="shared" si="104"/>
        <v>208.33333333333334</v>
      </c>
      <c r="Y150" s="57">
        <f t="shared" si="91"/>
        <v>4.7290303444852698E-4</v>
      </c>
      <c r="Z150" s="1">
        <f t="shared" si="105"/>
        <v>2500</v>
      </c>
      <c r="AA150" s="57">
        <f t="shared" si="92"/>
        <v>4.4667446690428069E-4</v>
      </c>
    </row>
    <row r="151" spans="2:28" ht="15" x14ac:dyDescent="0.35">
      <c r="C151" t="s">
        <v>16</v>
      </c>
      <c r="E151" s="27" t="s">
        <v>279</v>
      </c>
      <c r="F151" s="27">
        <v>7300691</v>
      </c>
      <c r="G151" s="4">
        <v>0</v>
      </c>
      <c r="H151" s="4">
        <v>0</v>
      </c>
      <c r="I151" s="4">
        <v>1000</v>
      </c>
      <c r="J151" s="4">
        <v>1000</v>
      </c>
      <c r="K151" s="4">
        <v>1000</v>
      </c>
      <c r="L151" s="4">
        <v>1000</v>
      </c>
      <c r="M151" s="14" t="str">
        <f t="shared" si="69"/>
        <v>*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2">
        <f t="shared" si="104"/>
        <v>0</v>
      </c>
      <c r="Y151" s="58">
        <f t="shared" si="91"/>
        <v>0</v>
      </c>
      <c r="Z151" s="4">
        <v>6000</v>
      </c>
      <c r="AA151" s="69">
        <f t="shared" si="92"/>
        <v>1.0720187205702737E-3</v>
      </c>
    </row>
    <row r="152" spans="2:28" ht="15" x14ac:dyDescent="0.35">
      <c r="B152" s="5"/>
      <c r="C152" s="5"/>
      <c r="D152" s="5" t="s">
        <v>31</v>
      </c>
      <c r="E152" s="9"/>
      <c r="F152" s="26"/>
      <c r="G152" s="6">
        <f>SUM(G144:G151)</f>
        <v>5750</v>
      </c>
      <c r="H152" s="6">
        <f>SUM(H144:H151)</f>
        <v>5750</v>
      </c>
      <c r="I152" s="6" t="e">
        <f t="shared" ref="I152:Q152" si="106">SUM(I144:I151)</f>
        <v>#REF!</v>
      </c>
      <c r="J152" s="6">
        <f t="shared" si="106"/>
        <v>11574.622499999999</v>
      </c>
      <c r="K152" s="6">
        <f t="shared" si="106"/>
        <v>11588.679425</v>
      </c>
      <c r="L152" s="6">
        <f t="shared" si="106"/>
        <v>11876.339807750002</v>
      </c>
      <c r="M152" s="6" t="e">
        <f t="shared" si="106"/>
        <v>#REF!</v>
      </c>
      <c r="N152" s="6">
        <f t="shared" si="106"/>
        <v>1000</v>
      </c>
      <c r="O152" s="6">
        <f t="shared" si="106"/>
        <v>14000</v>
      </c>
      <c r="P152" s="6">
        <f t="shared" si="106"/>
        <v>16500</v>
      </c>
      <c r="Q152" s="6">
        <f t="shared" si="106"/>
        <v>16500</v>
      </c>
      <c r="R152" s="6">
        <f t="shared" ref="R152:W152" si="107">SUM(R144:R151)</f>
        <v>16500</v>
      </c>
      <c r="S152" s="6">
        <f t="shared" si="107"/>
        <v>16500</v>
      </c>
      <c r="T152" s="6">
        <f t="shared" si="107"/>
        <v>16500</v>
      </c>
      <c r="U152" s="6">
        <f t="shared" si="107"/>
        <v>16500</v>
      </c>
      <c r="V152" s="6">
        <f t="shared" si="107"/>
        <v>16500</v>
      </c>
      <c r="W152" s="6">
        <f t="shared" si="107"/>
        <v>16500</v>
      </c>
      <c r="Y152" s="59">
        <f t="shared" si="91"/>
        <v>2.648256992911751E-3</v>
      </c>
      <c r="Z152" s="6">
        <f>SUBTOTAL(9,Z144:Z151)</f>
        <v>35000</v>
      </c>
      <c r="AA152" s="70">
        <f t="shared" si="92"/>
        <v>6.2534425366599297E-3</v>
      </c>
    </row>
    <row r="153" spans="2:28" ht="15" x14ac:dyDescent="0.35">
      <c r="B153" s="5" t="s">
        <v>32</v>
      </c>
      <c r="C153" s="5"/>
      <c r="D153" s="5"/>
      <c r="E153" s="9"/>
      <c r="F153" s="26"/>
      <c r="G153" s="6">
        <f>SUM(G152,G143,G137)</f>
        <v>192234.02100000001</v>
      </c>
      <c r="H153" s="6" t="e">
        <f>SUM(H152,H143,H137)</f>
        <v>#REF!</v>
      </c>
      <c r="I153" s="6" t="e">
        <f t="shared" ref="I153:Q153" si="108">SUM(I152,I143,I137)</f>
        <v>#REF!</v>
      </c>
      <c r="J153" s="6" t="e">
        <f t="shared" si="108"/>
        <v>#REF!</v>
      </c>
      <c r="K153" s="6" t="e">
        <f t="shared" si="108"/>
        <v>#REF!</v>
      </c>
      <c r="L153" s="6" t="e">
        <f t="shared" si="108"/>
        <v>#REF!</v>
      </c>
      <c r="M153" s="6" t="e">
        <f t="shared" si="108"/>
        <v>#REF!</v>
      </c>
      <c r="N153" s="6">
        <f t="shared" si="108"/>
        <v>1000</v>
      </c>
      <c r="O153" s="6">
        <f t="shared" si="108"/>
        <v>426047.86</v>
      </c>
      <c r="P153" s="6">
        <f t="shared" si="108"/>
        <v>437761.58250000002</v>
      </c>
      <c r="Q153" s="6">
        <f t="shared" si="108"/>
        <v>441784.74832499999</v>
      </c>
      <c r="R153" s="6">
        <f t="shared" ref="R153:W153" si="109">SUM(R152,R143,R137)</f>
        <v>445848.14580825</v>
      </c>
      <c r="S153" s="6">
        <f t="shared" si="109"/>
        <v>449952.17726633255</v>
      </c>
      <c r="T153" s="6">
        <f t="shared" si="109"/>
        <v>454097.24903899583</v>
      </c>
      <c r="U153" s="6">
        <f t="shared" si="109"/>
        <v>458283.77152938582</v>
      </c>
      <c r="V153" s="6">
        <f t="shared" si="109"/>
        <v>462512.15924467961</v>
      </c>
      <c r="W153" s="6">
        <f t="shared" si="109"/>
        <v>466782.83083712647</v>
      </c>
      <c r="Y153" s="73">
        <f t="shared" si="91"/>
        <v>8.0591730325720479E-2</v>
      </c>
      <c r="Z153" s="6">
        <f t="shared" ref="Z153" si="110">SUM(Z152,Z143,Z137)</f>
        <v>443624.16000000003</v>
      </c>
      <c r="AA153" s="70">
        <f t="shared" si="92"/>
        <v>7.9262234069543733E-2</v>
      </c>
    </row>
    <row r="154" spans="2:28" x14ac:dyDescent="0.2">
      <c r="G154" s="1"/>
      <c r="M154" s="14" t="e">
        <f>IF(M153="*","*","")</f>
        <v>#REF!</v>
      </c>
      <c r="P154" s="1"/>
      <c r="Q154" s="1"/>
      <c r="AA154" s="57"/>
    </row>
    <row r="155" spans="2:28" x14ac:dyDescent="0.2">
      <c r="B155" s="5" t="s">
        <v>50</v>
      </c>
      <c r="F155" s="27">
        <v>7400</v>
      </c>
      <c r="G155"/>
      <c r="M155" s="21" t="str">
        <f>IF(M159="*","*","")</f>
        <v/>
      </c>
      <c r="P155" s="1"/>
      <c r="Q155" s="1"/>
      <c r="AA155" s="57"/>
    </row>
    <row r="156" spans="2:28" x14ac:dyDescent="0.2">
      <c r="B156" s="5"/>
      <c r="C156" t="s">
        <v>33</v>
      </c>
      <c r="E156" s="3" t="s">
        <v>239</v>
      </c>
      <c r="F156" s="27">
        <v>7400360</v>
      </c>
      <c r="G156" s="14">
        <v>327300</v>
      </c>
      <c r="H156" s="14">
        <v>427300</v>
      </c>
      <c r="I156" s="14">
        <v>280000</v>
      </c>
      <c r="J156" s="14">
        <v>280000</v>
      </c>
      <c r="K156" s="14">
        <v>380000</v>
      </c>
      <c r="L156" s="14">
        <v>420000</v>
      </c>
      <c r="M156" s="14" t="str">
        <f t="shared" si="69"/>
        <v>*</v>
      </c>
      <c r="O156" s="17">
        <v>847292</v>
      </c>
      <c r="P156" s="1">
        <f>O156+106000+60000</f>
        <v>1013292</v>
      </c>
      <c r="Q156" s="1">
        <f>P156+20000</f>
        <v>1033292</v>
      </c>
      <c r="R156" s="17">
        <v>917292</v>
      </c>
      <c r="S156" s="17">
        <f>R156+45000</f>
        <v>962292</v>
      </c>
      <c r="T156" s="17">
        <v>993000</v>
      </c>
      <c r="U156" s="17">
        <v>863000</v>
      </c>
      <c r="V156" s="17">
        <f>U156+50000</f>
        <v>913000</v>
      </c>
      <c r="W156" s="17">
        <f>V156</f>
        <v>913000</v>
      </c>
      <c r="X156" s="42">
        <f t="shared" ref="X156:X157" si="111">O156/12</f>
        <v>70607.666666666672</v>
      </c>
      <c r="Y156" s="57">
        <f t="shared" si="91"/>
        <v>0.16027478314558452</v>
      </c>
      <c r="Z156" s="1">
        <v>847292</v>
      </c>
      <c r="AA156" s="57">
        <f t="shared" si="92"/>
        <v>0.15138548096490473</v>
      </c>
      <c r="AB156" t="s">
        <v>316</v>
      </c>
    </row>
    <row r="157" spans="2:28" ht="15" x14ac:dyDescent="0.35">
      <c r="B157" s="5"/>
      <c r="C157" s="29" t="s">
        <v>272</v>
      </c>
      <c r="E157" s="23" t="s">
        <v>220</v>
      </c>
      <c r="F157" s="27">
        <v>7400350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14" t="str">
        <f t="shared" si="69"/>
        <v/>
      </c>
      <c r="O157" s="3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2">
        <f t="shared" si="111"/>
        <v>0</v>
      </c>
      <c r="Y157" s="58">
        <f t="shared" si="91"/>
        <v>0</v>
      </c>
      <c r="Z157" s="4">
        <f>+O157</f>
        <v>0</v>
      </c>
      <c r="AA157" s="69">
        <f t="shared" si="92"/>
        <v>0</v>
      </c>
    </row>
    <row r="158" spans="2:28" ht="15" hidden="1" x14ac:dyDescent="0.35">
      <c r="B158" s="5"/>
      <c r="C158" t="s">
        <v>79</v>
      </c>
      <c r="E158" s="3" t="s">
        <v>213</v>
      </c>
      <c r="F158" s="3">
        <v>2900710</v>
      </c>
      <c r="G158" s="6">
        <v>327300</v>
      </c>
      <c r="H158" s="4">
        <f>10*H7*0</f>
        <v>0</v>
      </c>
      <c r="I158" s="4">
        <f>+H158*Inf</f>
        <v>0</v>
      </c>
      <c r="J158" s="4">
        <f>+I158*Inf</f>
        <v>0</v>
      </c>
      <c r="K158" s="4">
        <f>+J158*Inf</f>
        <v>0</v>
      </c>
      <c r="L158" s="4">
        <f>+K158*Inf</f>
        <v>0</v>
      </c>
      <c r="M158" s="14" t="str">
        <f t="shared" si="69"/>
        <v/>
      </c>
      <c r="P158">
        <f>SUBTOTAL(9,P156:P157)</f>
        <v>1013292</v>
      </c>
      <c r="X158"/>
      <c r="Y158"/>
      <c r="Z158"/>
    </row>
    <row r="159" spans="2:28" ht="15" x14ac:dyDescent="0.35">
      <c r="B159" s="5" t="s">
        <v>77</v>
      </c>
      <c r="C159" s="5"/>
      <c r="D159" s="5"/>
      <c r="E159" s="9"/>
      <c r="G159" s="6">
        <f>SUBTOTAL(9,G156:G157)</f>
        <v>327300</v>
      </c>
      <c r="H159" s="6">
        <f>SUM(H156:H158)</f>
        <v>427300</v>
      </c>
      <c r="I159" s="6">
        <f t="shared" ref="I159:N159" si="112">SUM(I156:I158)</f>
        <v>280000</v>
      </c>
      <c r="J159" s="6">
        <f t="shared" si="112"/>
        <v>280000</v>
      </c>
      <c r="K159" s="6">
        <f t="shared" si="112"/>
        <v>380000</v>
      </c>
      <c r="L159" s="6">
        <f t="shared" si="112"/>
        <v>420000</v>
      </c>
      <c r="M159" s="6">
        <f t="shared" si="112"/>
        <v>0</v>
      </c>
      <c r="N159" s="6">
        <f t="shared" si="112"/>
        <v>0</v>
      </c>
      <c r="O159" s="6">
        <f t="shared" ref="O159:X159" si="113">SUM(O156:O158)</f>
        <v>847292</v>
      </c>
      <c r="P159" s="6">
        <f t="shared" si="113"/>
        <v>2026584</v>
      </c>
      <c r="Q159" s="6">
        <f t="shared" si="113"/>
        <v>1033292</v>
      </c>
      <c r="R159" s="6">
        <f t="shared" si="113"/>
        <v>917292</v>
      </c>
      <c r="S159" s="6">
        <f t="shared" si="113"/>
        <v>962292</v>
      </c>
      <c r="T159" s="6">
        <f t="shared" si="113"/>
        <v>993000</v>
      </c>
      <c r="U159" s="6">
        <f t="shared" si="113"/>
        <v>863000</v>
      </c>
      <c r="V159" s="6">
        <f t="shared" si="113"/>
        <v>913000</v>
      </c>
      <c r="W159" s="6">
        <f t="shared" si="113"/>
        <v>913000</v>
      </c>
      <c r="X159" s="6">
        <f t="shared" si="113"/>
        <v>70607.666666666672</v>
      </c>
      <c r="Y159" s="59">
        <f t="shared" ref="Y159" si="114">+O159/$O$17</f>
        <v>0.16027478314558452</v>
      </c>
      <c r="Z159" s="6">
        <f>SUBTOTAL(9,Z156:Z157)</f>
        <v>847292</v>
      </c>
      <c r="AA159" s="70">
        <f t="shared" ref="AA159" si="115">+Z159/Z$17</f>
        <v>0.15138548096490473</v>
      </c>
    </row>
    <row r="160" spans="2:28" x14ac:dyDescent="0.2">
      <c r="M160" s="14" t="str">
        <f>IF(M159="*","*","")</f>
        <v/>
      </c>
      <c r="P160" s="1"/>
      <c r="Q160" s="1"/>
      <c r="AA160" s="57"/>
    </row>
    <row r="161" spans="1:27" x14ac:dyDescent="0.2">
      <c r="B161" s="5" t="s">
        <v>34</v>
      </c>
      <c r="F161" s="3">
        <v>7500</v>
      </c>
      <c r="M161" s="21" t="e">
        <f>IF(M172="*","*","")</f>
        <v>#REF!</v>
      </c>
      <c r="O161" s="30"/>
      <c r="P161" s="1"/>
      <c r="Q161" s="1"/>
      <c r="AA161" s="57"/>
    </row>
    <row r="162" spans="1:27" ht="15" hidden="1" x14ac:dyDescent="0.35">
      <c r="C162" t="s">
        <v>198</v>
      </c>
      <c r="E162" s="3" t="s">
        <v>210</v>
      </c>
      <c r="H162" s="4" t="e">
        <f>+#REF!</f>
        <v>#REF!</v>
      </c>
      <c r="I162" s="4" t="e">
        <f>+H162*Inf</f>
        <v>#REF!</v>
      </c>
      <c r="J162" s="4" t="e">
        <f>+I162*Inf</f>
        <v>#REF!</v>
      </c>
      <c r="K162" s="4" t="e">
        <f>+J162*Inf</f>
        <v>#REF!</v>
      </c>
      <c r="L162" s="4" t="e">
        <f>+K162*Inf</f>
        <v>#REF!</v>
      </c>
      <c r="M162" s="14" t="e">
        <f t="shared" si="69"/>
        <v>#REF!</v>
      </c>
      <c r="O162" s="4" t="e">
        <f>0.02*(O5-O120)</f>
        <v>#VALUE!</v>
      </c>
      <c r="X162"/>
      <c r="Y162"/>
      <c r="Z162"/>
    </row>
    <row r="163" spans="1:27" ht="15" hidden="1" x14ac:dyDescent="0.35">
      <c r="D163" s="5" t="s">
        <v>202</v>
      </c>
      <c r="E163" s="9"/>
      <c r="F163" s="26"/>
      <c r="G163" s="35"/>
      <c r="H163" s="6" t="e">
        <f>SUM(H162)</f>
        <v>#REF!</v>
      </c>
      <c r="I163" s="6" t="e">
        <f>SUM(I162)</f>
        <v>#REF!</v>
      </c>
      <c r="J163" s="6" t="e">
        <f>SUM(J162)</f>
        <v>#REF!</v>
      </c>
      <c r="K163" s="6" t="e">
        <f>SUM(K162)</f>
        <v>#REF!</v>
      </c>
      <c r="L163" s="6" t="e">
        <f>SUM(L162)</f>
        <v>#REF!</v>
      </c>
      <c r="M163" s="14" t="e">
        <f t="shared" si="69"/>
        <v>#REF!</v>
      </c>
      <c r="O163" s="6" t="e">
        <f>SUM(O161:O162)+1</f>
        <v>#VALUE!</v>
      </c>
      <c r="X163"/>
      <c r="Y163"/>
      <c r="Z163"/>
    </row>
    <row r="164" spans="1:27" ht="15" hidden="1" x14ac:dyDescent="0.35">
      <c r="C164" t="s">
        <v>7</v>
      </c>
      <c r="E164" s="22">
        <v>1.4999999999999999E-2</v>
      </c>
      <c r="F164" s="22"/>
      <c r="G164" s="22"/>
      <c r="H164" s="14" t="e">
        <f>+H163*0.0985</f>
        <v>#REF!</v>
      </c>
      <c r="I164" s="14" t="e">
        <f>+I163*0.0985</f>
        <v>#REF!</v>
      </c>
      <c r="J164" s="14" t="e">
        <f>+J163*0.0985</f>
        <v>#REF!</v>
      </c>
      <c r="K164" s="14" t="e">
        <f>+K163*0.0985</f>
        <v>#REF!</v>
      </c>
      <c r="L164" s="14" t="e">
        <f>+L163*0.0985</f>
        <v>#REF!</v>
      </c>
      <c r="M164" s="14" t="e">
        <f t="shared" si="69"/>
        <v>#REF!</v>
      </c>
      <c r="O164" s="6" t="e">
        <f>+O155+O160+O163</f>
        <v>#VALUE!</v>
      </c>
      <c r="X164"/>
      <c r="Y164"/>
      <c r="Z164"/>
    </row>
    <row r="165" spans="1:27" hidden="1" x14ac:dyDescent="0.2">
      <c r="C165" t="s">
        <v>8</v>
      </c>
      <c r="E165" s="3" t="s">
        <v>52</v>
      </c>
      <c r="H165" s="14" t="e">
        <f>+H163*0.0765+0.027*(#REF!)*7000</f>
        <v>#REF!</v>
      </c>
      <c r="I165" s="14" t="e">
        <f>+I163*0.0765+0.027*(#REF!)*7000</f>
        <v>#REF!</v>
      </c>
      <c r="J165" s="14" t="e">
        <f>+J163*0.0765+0.027*(#REF!)*7000</f>
        <v>#REF!</v>
      </c>
      <c r="K165" s="14" t="e">
        <f>+K163*0.0765+0.027*(#REF!)*7000</f>
        <v>#REF!</v>
      </c>
      <c r="L165" s="14" t="e">
        <f>+L163*0.0765+0.027*(#REF!)*7000</f>
        <v>#REF!</v>
      </c>
      <c r="M165" s="14" t="e">
        <f t="shared" si="69"/>
        <v>#REF!</v>
      </c>
      <c r="X165"/>
      <c r="Y165"/>
      <c r="Z165"/>
    </row>
    <row r="166" spans="1:27" ht="25.5" hidden="1" x14ac:dyDescent="0.2">
      <c r="C166" t="s">
        <v>9</v>
      </c>
      <c r="E166" s="23" t="str">
        <f>CONCATENATE("$",ins*2," per month per employee / 50% participation")</f>
        <v>$533.333333333333 per month per employee / 50% participation</v>
      </c>
      <c r="F166" s="23"/>
      <c r="G166" s="23"/>
      <c r="H166" s="14" t="e">
        <f>(#REF!)*ins*12</f>
        <v>#REF!</v>
      </c>
      <c r="I166" s="14" t="e">
        <f>(#REF!)*ins*12*Inf</f>
        <v>#REF!</v>
      </c>
      <c r="J166" s="14" t="e">
        <f>(#REF!)*ins*12*Inf^2</f>
        <v>#REF!</v>
      </c>
      <c r="K166" s="14" t="e">
        <f>(#REF!)*ins*12*Inf^3</f>
        <v>#REF!</v>
      </c>
      <c r="L166" s="14" t="e">
        <f>(#REF!)*ins*12*Inf^4</f>
        <v>#REF!</v>
      </c>
      <c r="M166" s="14" t="e">
        <f t="shared" si="69"/>
        <v>#REF!</v>
      </c>
      <c r="X166"/>
      <c r="Y166"/>
      <c r="Z166"/>
    </row>
    <row r="167" spans="1:27" ht="15" hidden="1" x14ac:dyDescent="0.35">
      <c r="C167" t="s">
        <v>10</v>
      </c>
      <c r="E167" s="11" t="s">
        <v>53</v>
      </c>
      <c r="F167" s="11"/>
      <c r="G167" s="11"/>
      <c r="H167" s="4" t="e">
        <f>+H163*0.01</f>
        <v>#REF!</v>
      </c>
      <c r="I167" s="4" t="e">
        <f>+I163*0.01</f>
        <v>#REF!</v>
      </c>
      <c r="J167" s="4" t="e">
        <f>+J163*0.01</f>
        <v>#REF!</v>
      </c>
      <c r="K167" s="4" t="e">
        <f>+K163*0.01</f>
        <v>#REF!</v>
      </c>
      <c r="L167" s="4" t="e">
        <f>+L163*0.01</f>
        <v>#REF!</v>
      </c>
      <c r="M167" s="14" t="e">
        <f t="shared" si="69"/>
        <v>#REF!</v>
      </c>
      <c r="X167"/>
      <c r="Y167"/>
      <c r="Z167"/>
    </row>
    <row r="168" spans="1:27" ht="15" hidden="1" x14ac:dyDescent="0.35">
      <c r="D168" s="5" t="s">
        <v>203</v>
      </c>
      <c r="E168" s="9"/>
      <c r="F168" s="26"/>
      <c r="G168" s="35"/>
      <c r="H168" s="6" t="e">
        <f>SUM(H164:H167)</f>
        <v>#REF!</v>
      </c>
      <c r="I168" s="6" t="e">
        <f>SUM(I164:I167)</f>
        <v>#REF!</v>
      </c>
      <c r="J168" s="6" t="e">
        <f>SUM(J164:J167)</f>
        <v>#REF!</v>
      </c>
      <c r="K168" s="6" t="e">
        <f>SUM(K164:K167)</f>
        <v>#REF!</v>
      </c>
      <c r="L168" s="6" t="e">
        <f>SUM(L164:L167)</f>
        <v>#REF!</v>
      </c>
      <c r="M168" s="14" t="e">
        <f t="shared" si="69"/>
        <v>#REF!</v>
      </c>
      <c r="X168"/>
      <c r="Y168"/>
      <c r="Z168"/>
    </row>
    <row r="169" spans="1:27" x14ac:dyDescent="0.2">
      <c r="A169" s="49"/>
      <c r="B169" s="49"/>
      <c r="C169" s="49" t="s">
        <v>46</v>
      </c>
      <c r="D169" s="49"/>
      <c r="E169" s="11" t="s">
        <v>85</v>
      </c>
      <c r="F169" s="11">
        <v>7500310</v>
      </c>
      <c r="G169" s="30">
        <f>0.025*(G10-G128)</f>
        <v>55575.9</v>
      </c>
      <c r="H169" s="30">
        <f>0.025*(H10-H128)</f>
        <v>56553.350000000006</v>
      </c>
      <c r="I169" s="30" t="e">
        <f t="shared" ref="I169:N169" si="116">0.02*(I10-I128)</f>
        <v>#REF!</v>
      </c>
      <c r="J169" s="30" t="e">
        <f t="shared" si="116"/>
        <v>#REF!</v>
      </c>
      <c r="K169" s="30" t="e">
        <f t="shared" si="116"/>
        <v>#REF!</v>
      </c>
      <c r="L169" s="30" t="e">
        <f t="shared" si="116"/>
        <v>#REF!</v>
      </c>
      <c r="M169" s="30" t="e">
        <f t="shared" si="116"/>
        <v>#REF!</v>
      </c>
      <c r="N169" s="30">
        <f t="shared" si="116"/>
        <v>-1386.92</v>
      </c>
      <c r="O169" s="51">
        <f>71565-10000</f>
        <v>61565</v>
      </c>
      <c r="P169" s="30">
        <f>0.02*(P10-P128)</f>
        <v>91064.3</v>
      </c>
      <c r="Q169" s="30">
        <f>0.02*(Q10-Q128)</f>
        <v>91064.3</v>
      </c>
      <c r="R169" s="30">
        <f>0.02*(R10-R128)</f>
        <v>91064.3</v>
      </c>
      <c r="S169" s="30">
        <f>0.02*(S10-S128)</f>
        <v>91064.3</v>
      </c>
      <c r="T169" s="30">
        <f>0.02*(T10-T128)-20000</f>
        <v>71064.3</v>
      </c>
      <c r="U169" s="30">
        <f>0.02*(U10-U128)</f>
        <v>93513.22</v>
      </c>
      <c r="V169" s="30">
        <f>0.02*(V10-V128)</f>
        <v>93513.22</v>
      </c>
      <c r="W169" s="30">
        <f>0.02*(W10-W128)</f>
        <v>95961.72</v>
      </c>
      <c r="X169" s="42">
        <f t="shared" ref="X169:X170" si="117">O169/12</f>
        <v>5130.416666666667</v>
      </c>
      <c r="Y169" s="57">
        <f t="shared" ref="Y169:Y172" si="118">+O169/$O$17</f>
        <v>1.1645710126329424E-2</v>
      </c>
      <c r="Z169" s="51">
        <v>61565</v>
      </c>
      <c r="AA169" s="57">
        <f t="shared" ref="AA169:AA172" si="119">+Z169/Z$17</f>
        <v>1.0999805421984817E-2</v>
      </c>
    </row>
    <row r="170" spans="1:27" ht="15" x14ac:dyDescent="0.35">
      <c r="A170" s="49"/>
      <c r="B170" s="49"/>
      <c r="C170" s="49" t="s">
        <v>47</v>
      </c>
      <c r="D170" s="49"/>
      <c r="E170" s="11" t="s">
        <v>86</v>
      </c>
      <c r="F170" s="11">
        <v>7500311</v>
      </c>
      <c r="G170" s="4">
        <f t="shared" ref="G170:N170" si="120">0.02*(G10-G128)</f>
        <v>44460.72</v>
      </c>
      <c r="H170" s="4">
        <f t="shared" si="120"/>
        <v>45242.68</v>
      </c>
      <c r="I170" s="4" t="e">
        <f t="shared" si="120"/>
        <v>#REF!</v>
      </c>
      <c r="J170" s="4" t="e">
        <f t="shared" si="120"/>
        <v>#REF!</v>
      </c>
      <c r="K170" s="4" t="e">
        <f t="shared" si="120"/>
        <v>#REF!</v>
      </c>
      <c r="L170" s="4" t="e">
        <f t="shared" si="120"/>
        <v>#REF!</v>
      </c>
      <c r="M170" s="4" t="e">
        <f t="shared" si="120"/>
        <v>#REF!</v>
      </c>
      <c r="N170" s="4">
        <f t="shared" si="120"/>
        <v>-1386.92</v>
      </c>
      <c r="O170" s="52">
        <f>71565-10000</f>
        <v>61565</v>
      </c>
      <c r="P170" s="4">
        <f>0.02*(P10-P128)</f>
        <v>91064.3</v>
      </c>
      <c r="Q170" s="4">
        <f>0.02*(Q10-Q128)</f>
        <v>91064.3</v>
      </c>
      <c r="R170" s="4">
        <f>0.02*(R10-R128)</f>
        <v>91064.3</v>
      </c>
      <c r="S170" s="4">
        <f>0.02*(S10-S128)</f>
        <v>91064.3</v>
      </c>
      <c r="T170" s="4">
        <f>0.02*(T10-T128)-20000</f>
        <v>71064.3</v>
      </c>
      <c r="U170" s="4">
        <f>0.02*(U10-U128)</f>
        <v>93513.22</v>
      </c>
      <c r="V170" s="4">
        <f>0.02*(V10-V128)</f>
        <v>93513.22</v>
      </c>
      <c r="W170" s="4">
        <f>0.02*(W10-W128)</f>
        <v>95961.72</v>
      </c>
      <c r="X170" s="42">
        <f t="shared" si="117"/>
        <v>5130.416666666667</v>
      </c>
      <c r="Y170" s="58">
        <f t="shared" si="118"/>
        <v>1.1645710126329424E-2</v>
      </c>
      <c r="Z170" s="52">
        <f>71565-10000</f>
        <v>61565</v>
      </c>
      <c r="AA170" s="57">
        <f t="shared" si="119"/>
        <v>1.0999805421984817E-2</v>
      </c>
    </row>
    <row r="171" spans="1:27" ht="15" x14ac:dyDescent="0.35">
      <c r="B171" s="5"/>
      <c r="C171" s="5"/>
      <c r="D171" s="5" t="s">
        <v>204</v>
      </c>
      <c r="E171" s="9"/>
      <c r="F171" s="26"/>
      <c r="G171" s="6">
        <f>SUM(G169:G170)+1</f>
        <v>100037.62</v>
      </c>
      <c r="H171" s="6">
        <f>SUM(H169:H170)+1</f>
        <v>101797.03</v>
      </c>
      <c r="I171" s="6" t="e">
        <f t="shared" ref="I171:N171" si="121">SUM(I169:I170)</f>
        <v>#REF!</v>
      </c>
      <c r="J171" s="6" t="e">
        <f t="shared" si="121"/>
        <v>#REF!</v>
      </c>
      <c r="K171" s="6" t="e">
        <f t="shared" si="121"/>
        <v>#REF!</v>
      </c>
      <c r="L171" s="6" t="e">
        <f t="shared" si="121"/>
        <v>#REF!</v>
      </c>
      <c r="M171" s="6" t="e">
        <f t="shared" si="121"/>
        <v>#REF!</v>
      </c>
      <c r="N171" s="6">
        <f t="shared" si="121"/>
        <v>-2773.84</v>
      </c>
      <c r="O171" s="6">
        <f>SUM(O169:O170)+1</f>
        <v>123131</v>
      </c>
      <c r="P171" s="6">
        <f>SUM(P169:P170)+1</f>
        <v>182129.6</v>
      </c>
      <c r="Q171" s="6">
        <f>SUM(Q169:Q170)+1</f>
        <v>182129.6</v>
      </c>
      <c r="R171" s="6">
        <f t="shared" ref="R171:W171" si="122">SUM(R169:R170)+1</f>
        <v>182129.6</v>
      </c>
      <c r="S171" s="6">
        <f t="shared" si="122"/>
        <v>182129.6</v>
      </c>
      <c r="T171" s="6">
        <f t="shared" si="122"/>
        <v>142129.60000000001</v>
      </c>
      <c r="U171" s="6">
        <f t="shared" si="122"/>
        <v>187027.44</v>
      </c>
      <c r="V171" s="6">
        <f t="shared" si="122"/>
        <v>187027.44</v>
      </c>
      <c r="W171" s="6">
        <f t="shared" si="122"/>
        <v>191924.44</v>
      </c>
      <c r="Y171" s="59">
        <f t="shared" si="118"/>
        <v>2.3291609413872628E-2</v>
      </c>
      <c r="Z171" s="6">
        <f>SUM(Z169:Z170)+1</f>
        <v>123131</v>
      </c>
      <c r="AA171" s="57">
        <f t="shared" si="119"/>
        <v>2.1999789513756394E-2</v>
      </c>
    </row>
    <row r="172" spans="1:27" ht="15" x14ac:dyDescent="0.35">
      <c r="B172" s="5" t="s">
        <v>48</v>
      </c>
      <c r="C172" s="5"/>
      <c r="D172" s="5"/>
      <c r="E172" s="9"/>
      <c r="F172" s="26"/>
      <c r="G172" s="6">
        <f>+G163+G168+G171</f>
        <v>100037.62</v>
      </c>
      <c r="H172" s="6" t="e">
        <f>+H163+H168+H171</f>
        <v>#REF!</v>
      </c>
      <c r="I172" s="6" t="e">
        <f t="shared" ref="I172:N172" si="123">+I163+I168+I171</f>
        <v>#REF!</v>
      </c>
      <c r="J172" s="6" t="e">
        <f t="shared" si="123"/>
        <v>#REF!</v>
      </c>
      <c r="K172" s="6" t="e">
        <f t="shared" si="123"/>
        <v>#REF!</v>
      </c>
      <c r="L172" s="6" t="e">
        <f t="shared" si="123"/>
        <v>#REF!</v>
      </c>
      <c r="M172" s="6" t="e">
        <f t="shared" si="123"/>
        <v>#REF!</v>
      </c>
      <c r="N172" s="6">
        <f t="shared" si="123"/>
        <v>-2773.84</v>
      </c>
      <c r="O172" s="6">
        <f>O171</f>
        <v>123131</v>
      </c>
      <c r="P172" s="6">
        <f>+P163+P168+P171</f>
        <v>182129.6</v>
      </c>
      <c r="Q172" s="6">
        <f>+Q163+Q168+Q171</f>
        <v>182129.6</v>
      </c>
      <c r="R172" s="6">
        <f t="shared" ref="R172:W172" si="124">+R163+R168+R171</f>
        <v>182129.6</v>
      </c>
      <c r="S172" s="6">
        <f t="shared" si="124"/>
        <v>182129.6</v>
      </c>
      <c r="T172" s="6">
        <f t="shared" si="124"/>
        <v>142129.60000000001</v>
      </c>
      <c r="U172" s="6">
        <f t="shared" si="124"/>
        <v>187027.44</v>
      </c>
      <c r="V172" s="6">
        <f t="shared" si="124"/>
        <v>187027.44</v>
      </c>
      <c r="W172" s="6">
        <f t="shared" si="124"/>
        <v>191924.44</v>
      </c>
      <c r="Y172" s="59">
        <f t="shared" si="118"/>
        <v>2.3291609413872628E-2</v>
      </c>
      <c r="Z172" s="6">
        <f>Z171</f>
        <v>123131</v>
      </c>
      <c r="AA172" s="57">
        <f t="shared" si="119"/>
        <v>2.1999789513756394E-2</v>
      </c>
    </row>
    <row r="173" spans="1:27" ht="15" x14ac:dyDescent="0.35">
      <c r="B173" s="5"/>
      <c r="C173" s="5"/>
      <c r="D173" s="5"/>
      <c r="E173" s="9"/>
      <c r="F173" s="26"/>
      <c r="G173" s="35"/>
      <c r="H173" s="6"/>
      <c r="I173" s="6"/>
      <c r="J173" s="6"/>
      <c r="K173" s="6"/>
      <c r="L173" s="6"/>
      <c r="M173" s="14" t="e">
        <f>IF(M172="*","*","")</f>
        <v>#REF!</v>
      </c>
      <c r="P173" s="1"/>
      <c r="Q173" s="1"/>
      <c r="R173" s="1"/>
      <c r="S173" s="1"/>
      <c r="T173" s="1"/>
      <c r="U173" s="1"/>
      <c r="V173" s="1"/>
      <c r="W173" s="1"/>
      <c r="AA173" s="57"/>
    </row>
    <row r="174" spans="1:27" x14ac:dyDescent="0.2">
      <c r="B174" s="5" t="s">
        <v>80</v>
      </c>
      <c r="F174" s="3">
        <v>7600</v>
      </c>
      <c r="M174" s="21" t="e">
        <f>IF(#REF!="*","*","")</f>
        <v>#REF!</v>
      </c>
      <c r="P174" s="1"/>
      <c r="Q174" s="1"/>
      <c r="R174" s="1"/>
      <c r="S174" s="1"/>
      <c r="T174" s="1"/>
      <c r="U174" s="1"/>
      <c r="V174" s="1"/>
      <c r="W174" s="1"/>
      <c r="AA174" s="57"/>
    </row>
    <row r="175" spans="1:27" ht="15" hidden="1" x14ac:dyDescent="0.35">
      <c r="C175" t="s">
        <v>147</v>
      </c>
      <c r="E175" s="3" t="s">
        <v>210</v>
      </c>
      <c r="H175" s="4" t="e">
        <f>+#REF!</f>
        <v>#REF!</v>
      </c>
      <c r="I175" s="4" t="e">
        <f>+H175*2*Inf</f>
        <v>#REF!</v>
      </c>
      <c r="J175" s="4" t="e">
        <f>+I175*Inf/2*3</f>
        <v>#REF!</v>
      </c>
      <c r="K175" s="4" t="e">
        <f>+J175*Inf</f>
        <v>#REF!</v>
      </c>
      <c r="L175" s="4" t="e">
        <f>+K175*Inf</f>
        <v>#REF!</v>
      </c>
      <c r="M175" s="14" t="e">
        <f t="shared" si="69"/>
        <v>#REF!</v>
      </c>
      <c r="X175"/>
      <c r="Y175"/>
      <c r="Z175"/>
    </row>
    <row r="176" spans="1:27" ht="15" hidden="1" x14ac:dyDescent="0.35">
      <c r="D176" s="5" t="s">
        <v>148</v>
      </c>
      <c r="E176" s="9"/>
      <c r="F176" s="26"/>
      <c r="G176" s="35"/>
      <c r="H176" s="6" t="e">
        <f>SUM(H175)</f>
        <v>#REF!</v>
      </c>
      <c r="I176" s="6" t="e">
        <f>SUM(I175)</f>
        <v>#REF!</v>
      </c>
      <c r="J176" s="6" t="e">
        <f>SUM(J175)</f>
        <v>#REF!</v>
      </c>
      <c r="K176" s="6" t="e">
        <f>SUM(K175)</f>
        <v>#REF!</v>
      </c>
      <c r="L176" s="6" t="e">
        <f>SUM(L175)</f>
        <v>#REF!</v>
      </c>
      <c r="M176" s="14" t="e">
        <f t="shared" si="69"/>
        <v>#REF!</v>
      </c>
      <c r="X176"/>
      <c r="Y176"/>
      <c r="Z176"/>
    </row>
    <row r="177" spans="2:29" hidden="1" x14ac:dyDescent="0.2">
      <c r="C177" t="s">
        <v>7</v>
      </c>
      <c r="E177" s="22">
        <v>1.4999999999999999E-2</v>
      </c>
      <c r="F177" s="22"/>
      <c r="G177" s="22"/>
      <c r="H177" s="14" t="e">
        <f>+H176*0.015</f>
        <v>#REF!</v>
      </c>
      <c r="I177" s="14" t="e">
        <f>+I176*0.015</f>
        <v>#REF!</v>
      </c>
      <c r="J177" s="14" t="e">
        <f>+J176*0.015</f>
        <v>#REF!</v>
      </c>
      <c r="K177" s="14" t="e">
        <f>+K176*0.015</f>
        <v>#REF!</v>
      </c>
      <c r="L177" s="14" t="e">
        <f>+L176*0.015</f>
        <v>#REF!</v>
      </c>
      <c r="M177" s="14" t="e">
        <f t="shared" si="69"/>
        <v>#REF!</v>
      </c>
      <c r="X177"/>
      <c r="Y177"/>
      <c r="Z177"/>
    </row>
    <row r="178" spans="2:29" hidden="1" x14ac:dyDescent="0.2">
      <c r="C178" t="s">
        <v>8</v>
      </c>
      <c r="E178" s="3" t="s">
        <v>52</v>
      </c>
      <c r="H178" s="14" t="e">
        <f>+H176*0.0765+0.027*#REF!*7000</f>
        <v>#REF!</v>
      </c>
      <c r="I178" s="14" t="e">
        <f>+I176*0.0765+0.027*(#REF!+0)*7000</f>
        <v>#REF!</v>
      </c>
      <c r="J178" s="14" t="e">
        <f>+J176*0.0765+0.027*(#REF!+0)*7000</f>
        <v>#REF!</v>
      </c>
      <c r="K178" s="14" t="e">
        <f>+K176*0.0765+0.027*(#REF!+0)*7000</f>
        <v>#REF!</v>
      </c>
      <c r="L178" s="14" t="e">
        <f>+L176*0.0765+0.027*(#REF!+0)*7000</f>
        <v>#REF!</v>
      </c>
      <c r="M178" s="14" t="e">
        <f t="shared" si="69"/>
        <v>#REF!</v>
      </c>
      <c r="X178"/>
      <c r="Y178"/>
      <c r="Z178"/>
    </row>
    <row r="179" spans="2:29" ht="25.5" hidden="1" x14ac:dyDescent="0.2">
      <c r="C179" t="s">
        <v>9</v>
      </c>
      <c r="E179" s="23" t="str">
        <f>CONCATENATE("$",ins*2," per month per employee / 50% participation")</f>
        <v>$533.333333333333 per month per employee / 50% participation</v>
      </c>
      <c r="F179" s="23"/>
      <c r="G179" s="23"/>
      <c r="H179" s="14" t="e">
        <f>#REF!*ins*12</f>
        <v>#REF!</v>
      </c>
      <c r="I179" s="14" t="e">
        <f>(#REF!+0)*ins*12*Inf</f>
        <v>#REF!</v>
      </c>
      <c r="J179" s="14" t="e">
        <f>(#REF!+0)*ins*12*Inf^2</f>
        <v>#REF!</v>
      </c>
      <c r="K179" s="14" t="e">
        <f>(#REF!+0)*ins*12*Inf^3</f>
        <v>#REF!</v>
      </c>
      <c r="L179" s="14" t="e">
        <f>(#REF!+0)*ins*12*Inf^4</f>
        <v>#REF!</v>
      </c>
      <c r="M179" s="14" t="e">
        <f t="shared" si="69"/>
        <v>#REF!</v>
      </c>
      <c r="X179"/>
      <c r="Y179"/>
      <c r="Z179"/>
    </row>
    <row r="180" spans="2:29" ht="15" hidden="1" x14ac:dyDescent="0.35">
      <c r="C180" t="s">
        <v>10</v>
      </c>
      <c r="E180" s="11" t="s">
        <v>53</v>
      </c>
      <c r="F180" s="11"/>
      <c r="G180" s="11"/>
      <c r="H180" s="4" t="e">
        <f>+H176*0.01</f>
        <v>#REF!</v>
      </c>
      <c r="I180" s="4" t="e">
        <f>+I176*0.01</f>
        <v>#REF!</v>
      </c>
      <c r="J180" s="4" t="e">
        <f>+J176*0.01</f>
        <v>#REF!</v>
      </c>
      <c r="K180" s="4" t="e">
        <f>+K176*0.01</f>
        <v>#REF!</v>
      </c>
      <c r="L180" s="4" t="e">
        <f>+L176*0.01</f>
        <v>#REF!</v>
      </c>
      <c r="M180" s="14" t="e">
        <f t="shared" si="69"/>
        <v>#REF!</v>
      </c>
      <c r="X180"/>
      <c r="Y180"/>
      <c r="Z180"/>
    </row>
    <row r="181" spans="2:29" ht="15" hidden="1" x14ac:dyDescent="0.35">
      <c r="D181" s="5" t="s">
        <v>149</v>
      </c>
      <c r="E181" s="9"/>
      <c r="F181" s="26"/>
      <c r="G181" s="35"/>
      <c r="H181" s="6" t="e">
        <f>SUM(H177:H180)</f>
        <v>#REF!</v>
      </c>
      <c r="I181" s="6" t="e">
        <f>SUM(I177:I180)</f>
        <v>#REF!</v>
      </c>
      <c r="J181" s="6" t="e">
        <f>SUM(J177:J180)</f>
        <v>#REF!</v>
      </c>
      <c r="K181" s="6" t="e">
        <f>SUM(K177:K180)</f>
        <v>#REF!</v>
      </c>
      <c r="L181" s="6" t="e">
        <f>SUM(L177:L180)</f>
        <v>#REF!</v>
      </c>
      <c r="M181" s="14" t="e">
        <f t="shared" si="69"/>
        <v>#REF!</v>
      </c>
      <c r="X181"/>
      <c r="Y181"/>
      <c r="Z181"/>
    </row>
    <row r="182" spans="2:29" ht="15" x14ac:dyDescent="0.35">
      <c r="C182" s="36" t="s">
        <v>288</v>
      </c>
      <c r="D182" s="5"/>
      <c r="E182" s="31"/>
      <c r="F182" s="27">
        <v>7600160</v>
      </c>
      <c r="G182" s="4">
        <v>19800</v>
      </c>
      <c r="H182" s="4">
        <v>19500</v>
      </c>
      <c r="I182" s="6"/>
      <c r="J182" s="6"/>
      <c r="K182" s="6"/>
      <c r="L182" s="6"/>
      <c r="M182" s="14"/>
      <c r="O182" s="34">
        <v>44000</v>
      </c>
      <c r="P182" s="34">
        <f>O182*1.01</f>
        <v>44440</v>
      </c>
      <c r="Q182" s="34">
        <f t="shared" ref="Q182:W182" si="125">P182*1.01</f>
        <v>44884.4</v>
      </c>
      <c r="R182" s="34">
        <f t="shared" si="125"/>
        <v>45333.243999999999</v>
      </c>
      <c r="S182" s="34">
        <f t="shared" si="125"/>
        <v>45786.576439999997</v>
      </c>
      <c r="T182" s="34">
        <f t="shared" si="125"/>
        <v>46244.442204399995</v>
      </c>
      <c r="U182" s="34">
        <f t="shared" si="125"/>
        <v>46706.886626443993</v>
      </c>
      <c r="V182" s="34">
        <f t="shared" si="125"/>
        <v>47173.955492708432</v>
      </c>
      <c r="W182" s="34">
        <f t="shared" si="125"/>
        <v>47645.69504763552</v>
      </c>
      <c r="X182" s="42">
        <f>O182/12</f>
        <v>3666.6666666666665</v>
      </c>
      <c r="Y182" s="58">
        <f t="shared" ref="Y182:Y191" si="126">+O182/$O$17</f>
        <v>8.3230934062940749E-3</v>
      </c>
      <c r="Z182" s="4">
        <f>(Salaries!E31+Salaries!E32)</f>
        <v>48000</v>
      </c>
      <c r="AA182" s="69">
        <f t="shared" ref="AA182:AA191" si="127">+Z182/Z$17</f>
        <v>8.5761497645621895E-3</v>
      </c>
      <c r="AB182" s="36" t="s">
        <v>312</v>
      </c>
    </row>
    <row r="183" spans="2:29" ht="15" x14ac:dyDescent="0.35">
      <c r="C183" s="5"/>
      <c r="D183" s="5" t="s">
        <v>148</v>
      </c>
      <c r="E183" s="31"/>
      <c r="F183" s="31"/>
      <c r="G183" s="30">
        <f>SUBTOTAL(9,G182)</f>
        <v>19800</v>
      </c>
      <c r="H183" s="30">
        <f>SUBTOTAL(9,H182)</f>
        <v>19500</v>
      </c>
      <c r="I183" s="6">
        <f t="shared" ref="I183:X183" si="128">SUBTOTAL(9,I182)</f>
        <v>0</v>
      </c>
      <c r="J183" s="6">
        <f t="shared" si="128"/>
        <v>0</v>
      </c>
      <c r="K183" s="6">
        <f t="shared" si="128"/>
        <v>0</v>
      </c>
      <c r="L183" s="6">
        <f t="shared" si="128"/>
        <v>0</v>
      </c>
      <c r="M183" s="6">
        <f t="shared" si="128"/>
        <v>0</v>
      </c>
      <c r="N183" s="6">
        <f t="shared" si="128"/>
        <v>0</v>
      </c>
      <c r="O183" s="8">
        <f t="shared" si="128"/>
        <v>44000</v>
      </c>
      <c r="P183" s="8">
        <f t="shared" si="128"/>
        <v>44440</v>
      </c>
      <c r="Q183" s="8">
        <f t="shared" si="128"/>
        <v>44884.4</v>
      </c>
      <c r="R183" s="8">
        <f t="shared" si="128"/>
        <v>45333.243999999999</v>
      </c>
      <c r="S183" s="8">
        <f t="shared" si="128"/>
        <v>45786.576439999997</v>
      </c>
      <c r="T183" s="8">
        <f t="shared" si="128"/>
        <v>46244.442204399995</v>
      </c>
      <c r="U183" s="8">
        <f t="shared" si="128"/>
        <v>46706.886626443993</v>
      </c>
      <c r="V183" s="8">
        <f t="shared" si="128"/>
        <v>47173.955492708432</v>
      </c>
      <c r="W183" s="8">
        <f t="shared" si="128"/>
        <v>47645.69504763552</v>
      </c>
      <c r="X183" s="8">
        <f t="shared" si="128"/>
        <v>3666.6666666666665</v>
      </c>
      <c r="Y183" s="56">
        <f t="shared" si="126"/>
        <v>8.3230934062940749E-3</v>
      </c>
      <c r="Z183" s="8">
        <f>+Z182</f>
        <v>48000</v>
      </c>
      <c r="AA183" s="8">
        <f t="shared" ref="AA183:AC183" si="129">+AA182</f>
        <v>8.5761497645621895E-3</v>
      </c>
      <c r="AB183" s="8" t="str">
        <f t="shared" si="129"/>
        <v>3.5% incr</v>
      </c>
      <c r="AC183" s="8">
        <f t="shared" si="129"/>
        <v>0</v>
      </c>
    </row>
    <row r="184" spans="2:29" ht="15" x14ac:dyDescent="0.35">
      <c r="C184" t="s">
        <v>7</v>
      </c>
      <c r="D184" s="5"/>
      <c r="E184" s="31"/>
      <c r="F184" s="27">
        <v>7600210</v>
      </c>
      <c r="G184" s="14">
        <v>0</v>
      </c>
      <c r="H184" s="14">
        <v>585</v>
      </c>
      <c r="I184" s="6"/>
      <c r="J184" s="6"/>
      <c r="K184" s="6"/>
      <c r="L184" s="6"/>
      <c r="M184" s="14"/>
      <c r="O184" s="14">
        <v>0</v>
      </c>
      <c r="P184" s="14">
        <f t="shared" ref="P184:Q184" si="130">P183*0.02</f>
        <v>888.80000000000007</v>
      </c>
      <c r="Q184" s="14">
        <f t="shared" si="130"/>
        <v>897.6880000000001</v>
      </c>
      <c r="R184" s="14">
        <f t="shared" ref="R184" si="131">R183*0.02</f>
        <v>906.66488000000004</v>
      </c>
      <c r="S184" s="14">
        <f t="shared" ref="S184" si="132">S183*0.02</f>
        <v>915.73152879999998</v>
      </c>
      <c r="T184" s="14">
        <f t="shared" ref="T184" si="133">T183*0.02</f>
        <v>924.88884408799993</v>
      </c>
      <c r="U184" s="14">
        <f t="shared" ref="U184" si="134">U183*0.02</f>
        <v>934.13773252887984</v>
      </c>
      <c r="V184" s="14">
        <f t="shared" ref="V184" si="135">V183*0.02</f>
        <v>943.47910985416866</v>
      </c>
      <c r="W184" s="14">
        <f t="shared" ref="W184" si="136">W183*0.02</f>
        <v>952.91390095271038</v>
      </c>
      <c r="X184" s="42">
        <f t="shared" ref="X184:X188" si="137">O184/12</f>
        <v>0</v>
      </c>
      <c r="Y184" s="57">
        <f t="shared" si="126"/>
        <v>0</v>
      </c>
      <c r="AA184" s="57">
        <f t="shared" si="127"/>
        <v>0</v>
      </c>
    </row>
    <row r="185" spans="2:29" ht="15" x14ac:dyDescent="0.35">
      <c r="C185" t="s">
        <v>8</v>
      </c>
      <c r="D185" s="5"/>
      <c r="E185" s="31"/>
      <c r="F185" s="27">
        <v>7600220</v>
      </c>
      <c r="G185" s="14">
        <f>+G183*0.0765</f>
        <v>1514.7</v>
      </c>
      <c r="H185" s="14">
        <f>+H183*0.0765</f>
        <v>1491.75</v>
      </c>
      <c r="I185" s="6"/>
      <c r="J185" s="6"/>
      <c r="K185" s="6"/>
      <c r="L185" s="6"/>
      <c r="M185" s="14"/>
      <c r="O185" s="14">
        <f>O183*0.0765</f>
        <v>3366</v>
      </c>
      <c r="P185" s="14">
        <f t="shared" ref="P185:X185" si="138">+P183*0.0765</f>
        <v>3399.66</v>
      </c>
      <c r="Q185" s="14">
        <f t="shared" si="138"/>
        <v>3433.6566000000003</v>
      </c>
      <c r="R185" s="14">
        <f t="shared" si="138"/>
        <v>3467.9931659999997</v>
      </c>
      <c r="S185" s="14">
        <f t="shared" si="138"/>
        <v>3502.6730976599997</v>
      </c>
      <c r="T185" s="14">
        <f t="shared" si="138"/>
        <v>3537.6998286365997</v>
      </c>
      <c r="U185" s="14">
        <f t="shared" si="138"/>
        <v>3573.0768269229652</v>
      </c>
      <c r="V185" s="14">
        <f t="shared" si="138"/>
        <v>3608.8075951921951</v>
      </c>
      <c r="W185" s="14">
        <f t="shared" si="138"/>
        <v>3644.8956711441174</v>
      </c>
      <c r="X185" s="14">
        <f t="shared" si="138"/>
        <v>280.5</v>
      </c>
      <c r="Y185" s="57">
        <f t="shared" si="126"/>
        <v>6.3671664558149674E-4</v>
      </c>
      <c r="Z185" s="14">
        <f>Z183*0.0765</f>
        <v>3672</v>
      </c>
      <c r="AA185" s="57">
        <f t="shared" si="127"/>
        <v>6.560754569890075E-4</v>
      </c>
    </row>
    <row r="186" spans="2:29" ht="15" x14ac:dyDescent="0.35">
      <c r="C186" t="s">
        <v>9</v>
      </c>
      <c r="D186" s="5"/>
      <c r="E186" s="31"/>
      <c r="F186" s="27">
        <v>7600230</v>
      </c>
      <c r="G186" s="14">
        <v>4052</v>
      </c>
      <c r="H186" s="14">
        <v>4052</v>
      </c>
      <c r="I186" s="6"/>
      <c r="J186" s="6"/>
      <c r="K186" s="6"/>
      <c r="L186" s="6"/>
      <c r="M186" s="14"/>
      <c r="O186" s="14">
        <v>2300</v>
      </c>
      <c r="P186" s="14">
        <f>O186</f>
        <v>2300</v>
      </c>
      <c r="Q186" s="14">
        <f>P186</f>
        <v>2300</v>
      </c>
      <c r="R186" s="14">
        <f t="shared" ref="R186:W186" si="139">Q186</f>
        <v>2300</v>
      </c>
      <c r="S186" s="14">
        <f t="shared" si="139"/>
        <v>2300</v>
      </c>
      <c r="T186" s="14">
        <f t="shared" si="139"/>
        <v>2300</v>
      </c>
      <c r="U186" s="14">
        <f t="shared" si="139"/>
        <v>2300</v>
      </c>
      <c r="V186" s="14">
        <f t="shared" si="139"/>
        <v>2300</v>
      </c>
      <c r="W186" s="14">
        <f t="shared" si="139"/>
        <v>2300</v>
      </c>
      <c r="X186" s="42">
        <f t="shared" si="137"/>
        <v>191.66666666666666</v>
      </c>
      <c r="Y186" s="57">
        <f t="shared" si="126"/>
        <v>4.3507079169264478E-4</v>
      </c>
      <c r="Z186" s="1">
        <v>100</v>
      </c>
      <c r="AA186" s="57">
        <f t="shared" si="127"/>
        <v>1.7866978676171226E-5</v>
      </c>
      <c r="AB186" s="36" t="s">
        <v>313</v>
      </c>
    </row>
    <row r="187" spans="2:29" ht="15" x14ac:dyDescent="0.35">
      <c r="C187" t="s">
        <v>10</v>
      </c>
      <c r="D187" s="5"/>
      <c r="E187" s="31"/>
      <c r="F187" s="27">
        <v>7600240</v>
      </c>
      <c r="G187" s="30">
        <f>+G183*0.0057</f>
        <v>112.86</v>
      </c>
      <c r="H187" s="30">
        <f>+H183*0.0057</f>
        <v>111.15</v>
      </c>
      <c r="I187" s="6"/>
      <c r="J187" s="6"/>
      <c r="K187" s="6"/>
      <c r="L187" s="6"/>
      <c r="M187" s="14"/>
      <c r="O187" s="30">
        <f>O183*0.0057</f>
        <v>250.8</v>
      </c>
      <c r="P187" s="30">
        <f t="shared" ref="P187:X187" si="140">+P183*0.0499</f>
        <v>2217.556</v>
      </c>
      <c r="Q187" s="30">
        <f t="shared" si="140"/>
        <v>2239.7315600000002</v>
      </c>
      <c r="R187" s="30">
        <f t="shared" si="140"/>
        <v>2262.1288755999999</v>
      </c>
      <c r="S187" s="30">
        <f t="shared" si="140"/>
        <v>2284.7501643559999</v>
      </c>
      <c r="T187" s="30">
        <f t="shared" si="140"/>
        <v>2307.5976659995599</v>
      </c>
      <c r="U187" s="30">
        <f t="shared" si="140"/>
        <v>2330.6736426595553</v>
      </c>
      <c r="V187" s="30">
        <f t="shared" si="140"/>
        <v>2353.9803790861506</v>
      </c>
      <c r="W187" s="30">
        <f t="shared" si="140"/>
        <v>2377.5201828770123</v>
      </c>
      <c r="X187" s="30">
        <f t="shared" si="140"/>
        <v>182.96666666666667</v>
      </c>
      <c r="Y187" s="57">
        <f t="shared" si="126"/>
        <v>4.7441632415876227E-5</v>
      </c>
      <c r="Z187" s="1">
        <v>2500</v>
      </c>
      <c r="AA187" s="57">
        <f t="shared" si="127"/>
        <v>4.4667446690428069E-4</v>
      </c>
    </row>
    <row r="188" spans="2:29" ht="15" x14ac:dyDescent="0.35">
      <c r="C188" s="29" t="s">
        <v>269</v>
      </c>
      <c r="D188" s="5"/>
      <c r="E188" s="31"/>
      <c r="F188" s="27">
        <v>7600250</v>
      </c>
      <c r="G188" s="4">
        <f>7000*0.027*1</f>
        <v>189</v>
      </c>
      <c r="H188" s="4">
        <f>7000*0.027*1</f>
        <v>189</v>
      </c>
      <c r="I188" s="6"/>
      <c r="J188" s="6"/>
      <c r="K188" s="6"/>
      <c r="L188" s="6"/>
      <c r="M188" s="14"/>
      <c r="O188" s="4">
        <f>7000*0.007*6</f>
        <v>294</v>
      </c>
      <c r="P188" s="4">
        <f>7000*0.027*4</f>
        <v>756</v>
      </c>
      <c r="Q188" s="4">
        <f>7000*0.027*4</f>
        <v>756</v>
      </c>
      <c r="R188" s="4">
        <f t="shared" ref="R188:W188" si="141">7000*0.027*4</f>
        <v>756</v>
      </c>
      <c r="S188" s="4">
        <f t="shared" si="141"/>
        <v>756</v>
      </c>
      <c r="T188" s="4">
        <f t="shared" si="141"/>
        <v>756</v>
      </c>
      <c r="U188" s="4">
        <f t="shared" si="141"/>
        <v>756</v>
      </c>
      <c r="V188" s="4">
        <f t="shared" si="141"/>
        <v>756</v>
      </c>
      <c r="W188" s="4">
        <f t="shared" si="141"/>
        <v>756</v>
      </c>
      <c r="X188" s="42">
        <f t="shared" si="137"/>
        <v>24.5</v>
      </c>
      <c r="Y188" s="58">
        <f t="shared" si="126"/>
        <v>5.561339685114677E-5</v>
      </c>
      <c r="Z188" s="74">
        <f>+O188</f>
        <v>294</v>
      </c>
      <c r="AA188" s="58">
        <f t="shared" si="127"/>
        <v>5.2528917307943406E-5</v>
      </c>
    </row>
    <row r="189" spans="2:29" ht="15" x14ac:dyDescent="0.35">
      <c r="D189" s="5" t="s">
        <v>149</v>
      </c>
      <c r="E189" s="31"/>
      <c r="F189" s="31"/>
      <c r="G189" s="6">
        <f>SUBTOTAL(9,G184:G188)</f>
        <v>5868.5599999999995</v>
      </c>
      <c r="H189" s="6">
        <f>SUBTOTAL(9,H184:H188)</f>
        <v>6428.9</v>
      </c>
      <c r="I189" s="6">
        <f t="shared" ref="I189:X189" si="142">SUBTOTAL(9,I184:I188)</f>
        <v>0</v>
      </c>
      <c r="J189" s="6">
        <f t="shared" si="142"/>
        <v>0</v>
      </c>
      <c r="K189" s="6">
        <f t="shared" si="142"/>
        <v>0</v>
      </c>
      <c r="L189" s="6">
        <f t="shared" si="142"/>
        <v>0</v>
      </c>
      <c r="M189" s="6">
        <f t="shared" si="142"/>
        <v>0</v>
      </c>
      <c r="N189" s="6">
        <f t="shared" si="142"/>
        <v>0</v>
      </c>
      <c r="O189" s="6">
        <f t="shared" si="142"/>
        <v>6210.8</v>
      </c>
      <c r="P189" s="6">
        <f t="shared" si="142"/>
        <v>9562.0159999999996</v>
      </c>
      <c r="Q189" s="6">
        <f t="shared" si="142"/>
        <v>9627.0761600000005</v>
      </c>
      <c r="R189" s="6">
        <f t="shared" si="142"/>
        <v>9692.7869215999999</v>
      </c>
      <c r="S189" s="6">
        <f t="shared" si="142"/>
        <v>9759.1547908159991</v>
      </c>
      <c r="T189" s="6">
        <f t="shared" si="142"/>
        <v>9826.1863387241592</v>
      </c>
      <c r="U189" s="6">
        <f t="shared" si="142"/>
        <v>9893.8882021114005</v>
      </c>
      <c r="V189" s="6">
        <f t="shared" si="142"/>
        <v>9962.2670841325144</v>
      </c>
      <c r="W189" s="6">
        <f t="shared" si="142"/>
        <v>10031.32975497384</v>
      </c>
      <c r="X189" s="6">
        <f t="shared" si="142"/>
        <v>679.63333333333333</v>
      </c>
      <c r="Y189" s="59">
        <f t="shared" si="126"/>
        <v>1.1748424665411646E-3</v>
      </c>
      <c r="Z189" s="6">
        <f t="shared" ref="Z189" si="143">SUBTOTAL(9,Z184:Z188)</f>
        <v>6566</v>
      </c>
      <c r="AA189" s="59">
        <f t="shared" si="127"/>
        <v>1.1731458198774027E-3</v>
      </c>
    </row>
    <row r="190" spans="2:29" ht="15" x14ac:dyDescent="0.35">
      <c r="C190" s="36" t="s">
        <v>304</v>
      </c>
      <c r="D190" s="5"/>
      <c r="E190" s="31"/>
      <c r="F190" s="27">
        <v>7600570</v>
      </c>
      <c r="G190" s="6">
        <v>0</v>
      </c>
      <c r="H190" s="6">
        <v>0</v>
      </c>
      <c r="I190" s="6">
        <v>5000</v>
      </c>
      <c r="J190" s="6">
        <v>5000</v>
      </c>
      <c r="K190" s="6">
        <v>5000</v>
      </c>
      <c r="L190" s="6">
        <v>5000</v>
      </c>
      <c r="M190" s="6">
        <v>5000</v>
      </c>
      <c r="N190" s="6">
        <v>5000</v>
      </c>
      <c r="O190" s="6">
        <v>2000</v>
      </c>
      <c r="P190" s="6">
        <v>0</v>
      </c>
      <c r="Q190" s="6">
        <v>0</v>
      </c>
      <c r="R190" s="6">
        <v>0</v>
      </c>
      <c r="S190" s="6">
        <v>0</v>
      </c>
      <c r="T190" s="6">
        <v>0</v>
      </c>
      <c r="U190" s="6">
        <v>0</v>
      </c>
      <c r="V190" s="6">
        <v>0</v>
      </c>
      <c r="W190" s="6">
        <v>0</v>
      </c>
      <c r="X190" s="6">
        <v>0</v>
      </c>
      <c r="Y190" s="59">
        <f t="shared" si="126"/>
        <v>3.7832242755882157E-4</v>
      </c>
      <c r="Z190" s="6">
        <v>2000</v>
      </c>
      <c r="AA190" s="59">
        <f t="shared" si="127"/>
        <v>3.5733957352342453E-4</v>
      </c>
    </row>
    <row r="191" spans="2:29" x14ac:dyDescent="0.2">
      <c r="B191" s="5" t="s">
        <v>151</v>
      </c>
      <c r="D191" s="5"/>
      <c r="E191" s="31"/>
      <c r="F191" s="31"/>
      <c r="G191" s="8">
        <f>G183+G189+G190</f>
        <v>25668.559999999998</v>
      </c>
      <c r="H191" s="8">
        <f>H183+H189+H190</f>
        <v>25928.9</v>
      </c>
      <c r="I191" s="8">
        <f t="shared" ref="I191:X191" si="144">I183+I189+I190</f>
        <v>5000</v>
      </c>
      <c r="J191" s="8">
        <f t="shared" si="144"/>
        <v>5000</v>
      </c>
      <c r="K191" s="8">
        <f t="shared" si="144"/>
        <v>5000</v>
      </c>
      <c r="L191" s="8">
        <f t="shared" si="144"/>
        <v>5000</v>
      </c>
      <c r="M191" s="8">
        <f t="shared" si="144"/>
        <v>5000</v>
      </c>
      <c r="N191" s="8">
        <f t="shared" si="144"/>
        <v>5000</v>
      </c>
      <c r="O191" s="8">
        <f t="shared" si="144"/>
        <v>52210.8</v>
      </c>
      <c r="P191" s="8">
        <f t="shared" si="144"/>
        <v>54002.016000000003</v>
      </c>
      <c r="Q191" s="8">
        <f t="shared" si="144"/>
        <v>54511.476160000006</v>
      </c>
      <c r="R191" s="8">
        <f t="shared" si="144"/>
        <v>55026.030921600002</v>
      </c>
      <c r="S191" s="8">
        <f t="shared" si="144"/>
        <v>55545.731230815996</v>
      </c>
      <c r="T191" s="8">
        <f t="shared" si="144"/>
        <v>56070.628543124156</v>
      </c>
      <c r="U191" s="8">
        <f t="shared" si="144"/>
        <v>56600.774828555397</v>
      </c>
      <c r="V191" s="8">
        <f t="shared" si="144"/>
        <v>57136.222576840948</v>
      </c>
      <c r="W191" s="8">
        <f t="shared" si="144"/>
        <v>57677.024802609361</v>
      </c>
      <c r="X191" s="8">
        <f t="shared" si="144"/>
        <v>4346.3</v>
      </c>
      <c r="Y191" s="56">
        <f t="shared" si="126"/>
        <v>9.8762583003940609E-3</v>
      </c>
      <c r="Z191" s="8">
        <f t="shared" ref="Z191" si="145">Z183+Z189+Z190</f>
        <v>56566</v>
      </c>
      <c r="AA191" s="59">
        <f t="shared" si="127"/>
        <v>1.0106635157963017E-2</v>
      </c>
    </row>
    <row r="192" spans="2:29" ht="15" hidden="1" x14ac:dyDescent="0.35">
      <c r="D192" s="5" t="s">
        <v>150</v>
      </c>
      <c r="E192" s="9"/>
      <c r="F192" s="26"/>
      <c r="G192" s="35"/>
      <c r="H192" s="6" t="e">
        <f>SUM(#REF!)</f>
        <v>#REF!</v>
      </c>
      <c r="I192" s="6" t="e">
        <f>SUM(#REF!)</f>
        <v>#REF!</v>
      </c>
      <c r="J192" s="6" t="e">
        <f>SUM(#REF!)</f>
        <v>#REF!</v>
      </c>
      <c r="K192" s="6" t="e">
        <f>SUM(#REF!)</f>
        <v>#REF!</v>
      </c>
      <c r="L192" s="6" t="e">
        <f>SUM(#REF!)</f>
        <v>#REF!</v>
      </c>
      <c r="M192" s="14"/>
      <c r="X192"/>
      <c r="Y192"/>
      <c r="Z192"/>
    </row>
    <row r="193" spans="2:29" ht="15" hidden="1" x14ac:dyDescent="0.35">
      <c r="B193" s="5" t="s">
        <v>151</v>
      </c>
      <c r="C193" s="5"/>
      <c r="D193" s="5"/>
      <c r="H193" s="6" t="e">
        <f>+H176+H181+H192</f>
        <v>#REF!</v>
      </c>
      <c r="I193" s="6" t="e">
        <f>+I176+I181+I192</f>
        <v>#REF!</v>
      </c>
      <c r="J193" s="6" t="e">
        <f>+J176+J181+J192</f>
        <v>#REF!</v>
      </c>
      <c r="K193" s="6" t="e">
        <f>+K176+K181+K192</f>
        <v>#REF!</v>
      </c>
      <c r="L193" s="6" t="e">
        <f>+L176+L181+L192</f>
        <v>#REF!</v>
      </c>
      <c r="M193" s="14"/>
      <c r="X193"/>
      <c r="Y193"/>
      <c r="Z193"/>
    </row>
    <row r="194" spans="2:29" ht="15" x14ac:dyDescent="0.35">
      <c r="B194" s="5"/>
      <c r="C194" s="5"/>
      <c r="D194" s="5"/>
      <c r="H194" s="6"/>
      <c r="I194" s="6"/>
      <c r="J194" s="6"/>
      <c r="K194" s="6"/>
      <c r="L194" s="6"/>
      <c r="M194" s="14"/>
      <c r="P194" s="1"/>
      <c r="Q194" s="1"/>
      <c r="R194" s="1"/>
      <c r="S194" s="1"/>
      <c r="T194" s="1"/>
      <c r="U194" s="1"/>
      <c r="V194" s="1"/>
      <c r="W194" s="1"/>
      <c r="AA194" s="57"/>
    </row>
    <row r="195" spans="2:29" x14ac:dyDescent="0.2">
      <c r="B195" s="5" t="s">
        <v>35</v>
      </c>
      <c r="F195" s="3">
        <v>7800</v>
      </c>
      <c r="M195" s="21" t="str">
        <f>IF(M196="*","*","")</f>
        <v>*</v>
      </c>
      <c r="P195" s="1"/>
      <c r="Q195" s="1"/>
      <c r="R195" s="1"/>
      <c r="S195" s="1"/>
      <c r="T195" s="1"/>
      <c r="U195" s="1"/>
      <c r="V195" s="1"/>
      <c r="W195" s="1"/>
      <c r="AA195" s="57"/>
    </row>
    <row r="196" spans="2:29" ht="15" x14ac:dyDescent="0.35">
      <c r="C196" s="36" t="s">
        <v>11</v>
      </c>
      <c r="D196" s="5"/>
      <c r="E196" s="3" t="s">
        <v>233</v>
      </c>
      <c r="F196" s="3">
        <v>7800651</v>
      </c>
      <c r="G196" s="8">
        <v>70000</v>
      </c>
      <c r="H196" s="8">
        <v>77000</v>
      </c>
      <c r="I196" s="6">
        <f>200*180*2*Inf</f>
        <v>74160</v>
      </c>
      <c r="J196" s="6">
        <f>200*180*2*Inf^2</f>
        <v>76384.800000000003</v>
      </c>
      <c r="K196" s="6">
        <f>200*180*3*Inf^3</f>
        <v>118014.516</v>
      </c>
      <c r="L196" s="6">
        <f>200*180*3*Inf^4</f>
        <v>121554.95147999999</v>
      </c>
      <c r="M196" s="14" t="str">
        <f t="shared" ref="M196:M238" si="146">IF(MAX(H196:L196)&gt;0.49,"*","")</f>
        <v>*</v>
      </c>
      <c r="O196" s="8">
        <v>83580</v>
      </c>
      <c r="P196" s="8">
        <v>125000</v>
      </c>
      <c r="Q196" s="8">
        <v>125000</v>
      </c>
      <c r="R196" s="8">
        <v>125000</v>
      </c>
      <c r="S196" s="8">
        <v>125000</v>
      </c>
      <c r="T196" s="8">
        <v>125000</v>
      </c>
      <c r="U196" s="8">
        <v>125000</v>
      </c>
      <c r="V196" s="8">
        <v>125000</v>
      </c>
      <c r="W196" s="8">
        <v>125000</v>
      </c>
      <c r="X196" s="8">
        <v>125000</v>
      </c>
      <c r="Y196" s="56">
        <f t="shared" ref="Y196:Y208" si="147">+O196/$O$17</f>
        <v>1.5810094247683152E-2</v>
      </c>
      <c r="Z196" s="8">
        <f>+O196</f>
        <v>83580</v>
      </c>
      <c r="AA196" s="8">
        <f t="shared" ref="AA196:AC196" si="148">+P196</f>
        <v>125000</v>
      </c>
      <c r="AB196" s="8">
        <f t="shared" si="148"/>
        <v>125000</v>
      </c>
      <c r="AC196" s="8">
        <f t="shared" si="148"/>
        <v>125000</v>
      </c>
    </row>
    <row r="197" spans="2:29" ht="15" x14ac:dyDescent="0.35">
      <c r="C197" s="5"/>
      <c r="D197" s="5"/>
      <c r="G197" s="8"/>
      <c r="H197" s="8"/>
      <c r="I197" s="6"/>
      <c r="J197" s="6"/>
      <c r="K197" s="6"/>
      <c r="L197" s="6"/>
      <c r="M197" s="14"/>
      <c r="O197" s="8"/>
      <c r="P197" s="8"/>
      <c r="Q197" s="8"/>
      <c r="R197" s="8"/>
      <c r="S197" s="8"/>
      <c r="T197" s="8"/>
      <c r="U197" s="8"/>
      <c r="V197" s="8"/>
      <c r="W197" s="8"/>
      <c r="X197" s="8"/>
      <c r="AA197" s="57"/>
    </row>
    <row r="198" spans="2:29" ht="15" x14ac:dyDescent="0.35">
      <c r="B198" s="5" t="s">
        <v>301</v>
      </c>
      <c r="C198" s="5"/>
      <c r="D198" s="5"/>
      <c r="G198" s="8"/>
      <c r="H198" s="8"/>
      <c r="I198" s="6"/>
      <c r="J198" s="6"/>
      <c r="K198" s="6"/>
      <c r="L198" s="6"/>
      <c r="M198" s="14"/>
      <c r="O198" s="8"/>
      <c r="P198" s="8"/>
      <c r="Q198" s="8"/>
      <c r="R198" s="8"/>
      <c r="S198" s="8"/>
      <c r="T198" s="8"/>
      <c r="U198" s="8"/>
      <c r="V198" s="8"/>
      <c r="W198" s="8"/>
      <c r="X198" s="8"/>
      <c r="AA198" s="57"/>
    </row>
    <row r="199" spans="2:29" ht="15" x14ac:dyDescent="0.35">
      <c r="C199" s="36" t="s">
        <v>305</v>
      </c>
      <c r="D199" s="5"/>
      <c r="G199" s="8"/>
      <c r="H199" s="8"/>
      <c r="I199" s="6"/>
      <c r="J199" s="6"/>
      <c r="K199" s="6"/>
      <c r="L199" s="6"/>
      <c r="M199" s="14"/>
      <c r="O199" s="44">
        <v>22500</v>
      </c>
      <c r="P199" s="8"/>
      <c r="Q199" s="8"/>
      <c r="R199" s="8"/>
      <c r="S199" s="8"/>
      <c r="T199" s="8"/>
      <c r="U199" s="8"/>
      <c r="V199" s="8"/>
      <c r="W199" s="8"/>
      <c r="X199" s="8"/>
      <c r="Y199" s="59">
        <f t="shared" si="147"/>
        <v>4.256127310036743E-3</v>
      </c>
      <c r="Z199" s="4">
        <f>Salaries!E30</f>
        <v>40000</v>
      </c>
      <c r="AA199" s="69">
        <f t="shared" ref="AA199:AA208" si="149">+Z199/Z$17</f>
        <v>7.146791470468491E-3</v>
      </c>
      <c r="AB199" s="36" t="s">
        <v>312</v>
      </c>
    </row>
    <row r="200" spans="2:29" ht="15" x14ac:dyDescent="0.35">
      <c r="C200" s="36"/>
      <c r="D200" s="5" t="s">
        <v>303</v>
      </c>
      <c r="G200" s="8"/>
      <c r="H200" s="8"/>
      <c r="I200" s="6"/>
      <c r="J200" s="6"/>
      <c r="K200" s="6"/>
      <c r="L200" s="6"/>
      <c r="M200" s="14"/>
      <c r="O200" s="8">
        <f>O199</f>
        <v>22500</v>
      </c>
      <c r="P200" s="8"/>
      <c r="Q200" s="8"/>
      <c r="R200" s="8"/>
      <c r="S200" s="8"/>
      <c r="T200" s="8"/>
      <c r="U200" s="8"/>
      <c r="V200" s="8"/>
      <c r="W200" s="8"/>
      <c r="X200" s="8"/>
      <c r="Y200" s="56">
        <f t="shared" si="147"/>
        <v>4.256127310036743E-3</v>
      </c>
      <c r="Z200" s="8">
        <f>SUBTOTAL(9,Z199)</f>
        <v>40000</v>
      </c>
      <c r="AA200" s="8">
        <f t="shared" ref="AA200:AC200" si="150">SUBTOTAL(9,AA199)</f>
        <v>7.146791470468491E-3</v>
      </c>
      <c r="AB200" s="8">
        <f t="shared" si="150"/>
        <v>0</v>
      </c>
      <c r="AC200" s="8">
        <f t="shared" si="150"/>
        <v>0</v>
      </c>
    </row>
    <row r="201" spans="2:29" ht="15" x14ac:dyDescent="0.35">
      <c r="C201" s="36" t="s">
        <v>10</v>
      </c>
      <c r="D201" s="5"/>
      <c r="G201" s="8"/>
      <c r="H201" s="8"/>
      <c r="I201" s="6"/>
      <c r="J201" s="6"/>
      <c r="K201" s="6"/>
      <c r="L201" s="6"/>
      <c r="M201" s="14"/>
      <c r="O201" s="21">
        <f>O200*0.0057</f>
        <v>128.25</v>
      </c>
      <c r="P201" s="8"/>
      <c r="Q201" s="8"/>
      <c r="R201" s="8"/>
      <c r="S201" s="8"/>
      <c r="T201" s="8"/>
      <c r="U201" s="8"/>
      <c r="V201" s="8"/>
      <c r="W201" s="8"/>
      <c r="X201" s="8"/>
      <c r="Y201" s="57">
        <f t="shared" si="147"/>
        <v>2.4259925667209434E-5</v>
      </c>
      <c r="Z201" s="1">
        <f>+O201</f>
        <v>128.25</v>
      </c>
      <c r="AA201" s="57">
        <f t="shared" si="149"/>
        <v>2.29144001521896E-5</v>
      </c>
    </row>
    <row r="202" spans="2:29" ht="15" x14ac:dyDescent="0.35">
      <c r="C202" s="36" t="s">
        <v>7</v>
      </c>
      <c r="D202" s="5"/>
      <c r="G202" s="8"/>
      <c r="H202" s="8"/>
      <c r="I202" s="6"/>
      <c r="J202" s="6"/>
      <c r="K202" s="6"/>
      <c r="L202" s="6"/>
      <c r="M202" s="14"/>
      <c r="O202" s="21">
        <v>240</v>
      </c>
      <c r="P202" s="8"/>
      <c r="Q202" s="8"/>
      <c r="R202" s="8"/>
      <c r="S202" s="8"/>
      <c r="T202" s="8"/>
      <c r="U202" s="8"/>
      <c r="V202" s="8"/>
      <c r="W202" s="8"/>
      <c r="X202" s="8"/>
      <c r="Y202" s="57">
        <f t="shared" si="147"/>
        <v>4.539869130705859E-5</v>
      </c>
      <c r="Z202" s="1">
        <f>+O202</f>
        <v>240</v>
      </c>
      <c r="AA202" s="57">
        <f t="shared" si="149"/>
        <v>4.2880748822810945E-5</v>
      </c>
    </row>
    <row r="203" spans="2:29" ht="15" x14ac:dyDescent="0.35">
      <c r="C203" s="36" t="s">
        <v>8</v>
      </c>
      <c r="D203" s="5"/>
      <c r="G203" s="8"/>
      <c r="H203" s="8"/>
      <c r="I203" s="6"/>
      <c r="J203" s="6"/>
      <c r="K203" s="6"/>
      <c r="L203" s="6"/>
      <c r="M203" s="14"/>
      <c r="O203" s="21">
        <f>O200*0.0765</f>
        <v>1721.25</v>
      </c>
      <c r="P203" s="8"/>
      <c r="Q203" s="8"/>
      <c r="R203" s="8"/>
      <c r="S203" s="8"/>
      <c r="T203" s="8"/>
      <c r="U203" s="8"/>
      <c r="V203" s="8"/>
      <c r="W203" s="8"/>
      <c r="X203" s="8"/>
      <c r="Y203" s="57">
        <f t="shared" si="147"/>
        <v>3.2559373921781082E-4</v>
      </c>
      <c r="Z203" s="21">
        <f>Z200*0.0765</f>
        <v>3060</v>
      </c>
      <c r="AA203" s="57">
        <f t="shared" si="149"/>
        <v>5.4672954749083959E-4</v>
      </c>
    </row>
    <row r="204" spans="2:29" ht="15" x14ac:dyDescent="0.35">
      <c r="C204" s="36" t="s">
        <v>306</v>
      </c>
      <c r="D204" s="5"/>
      <c r="G204" s="8"/>
      <c r="H204" s="8"/>
      <c r="I204" s="6"/>
      <c r="J204" s="6"/>
      <c r="K204" s="6"/>
      <c r="L204" s="6"/>
      <c r="M204" s="14"/>
      <c r="O204" s="65">
        <f>O200*1*0.007</f>
        <v>157.5</v>
      </c>
      <c r="P204" s="8"/>
      <c r="Q204" s="8"/>
      <c r="R204" s="8"/>
      <c r="S204" s="8"/>
      <c r="T204" s="8"/>
      <c r="U204" s="8"/>
      <c r="V204" s="8"/>
      <c r="W204" s="8"/>
      <c r="X204" s="8"/>
      <c r="Y204" s="57">
        <f t="shared" si="147"/>
        <v>2.97928911702572E-5</v>
      </c>
      <c r="Z204" s="1">
        <f>+O204</f>
        <v>157.5</v>
      </c>
      <c r="AA204" s="57">
        <f t="shared" si="149"/>
        <v>2.8140491414969682E-5</v>
      </c>
    </row>
    <row r="205" spans="2:29" ht="15" x14ac:dyDescent="0.35">
      <c r="C205" s="36" t="s">
        <v>302</v>
      </c>
      <c r="D205" s="5"/>
      <c r="G205" s="8"/>
      <c r="H205" s="8"/>
      <c r="I205" s="6"/>
      <c r="J205" s="6"/>
      <c r="K205" s="6"/>
      <c r="L205" s="6"/>
      <c r="M205" s="14"/>
      <c r="O205" s="4">
        <v>1000</v>
      </c>
      <c r="P205" s="8"/>
      <c r="Q205" s="8"/>
      <c r="R205" s="8"/>
      <c r="S205" s="8"/>
      <c r="T205" s="8"/>
      <c r="U205" s="8"/>
      <c r="V205" s="8"/>
      <c r="W205" s="8"/>
      <c r="X205" s="8"/>
      <c r="Y205" s="69">
        <f t="shared" si="147"/>
        <v>1.8916121377941079E-4</v>
      </c>
      <c r="Z205" s="4">
        <f>+O205*1.1</f>
        <v>1100</v>
      </c>
      <c r="AA205" s="69">
        <f t="shared" si="149"/>
        <v>1.9653676543788349E-4</v>
      </c>
      <c r="AB205" s="36" t="s">
        <v>313</v>
      </c>
    </row>
    <row r="206" spans="2:29" ht="15" x14ac:dyDescent="0.35">
      <c r="C206" s="36"/>
      <c r="D206" s="5" t="s">
        <v>307</v>
      </c>
      <c r="G206" s="8"/>
      <c r="H206" s="8"/>
      <c r="I206" s="6"/>
      <c r="J206" s="6"/>
      <c r="K206" s="6"/>
      <c r="L206" s="6"/>
      <c r="M206" s="14"/>
      <c r="O206" s="47">
        <f>SUBTOTAL(9,O201:O205)</f>
        <v>3247</v>
      </c>
      <c r="P206" s="8"/>
      <c r="Q206" s="8"/>
      <c r="R206" s="8"/>
      <c r="S206" s="8"/>
      <c r="T206" s="8"/>
      <c r="U206" s="8"/>
      <c r="V206" s="8"/>
      <c r="W206" s="8"/>
      <c r="X206" s="8"/>
      <c r="Y206" s="57">
        <f t="shared" si="147"/>
        <v>6.1420646114174681E-4</v>
      </c>
      <c r="Z206" s="1">
        <f>SUBTOTAL(9,Z201:Z205)</f>
        <v>4685.75</v>
      </c>
      <c r="AA206" s="1">
        <f t="shared" ref="AA206:AC206" si="151">SUBTOTAL(9,AA201:AA205)</f>
        <v>8.3720195331869328E-4</v>
      </c>
      <c r="AB206" s="1">
        <f t="shared" si="151"/>
        <v>0</v>
      </c>
      <c r="AC206" s="1">
        <f t="shared" si="151"/>
        <v>0</v>
      </c>
    </row>
    <row r="207" spans="2:29" ht="15" x14ac:dyDescent="0.35">
      <c r="C207" s="36" t="s">
        <v>287</v>
      </c>
      <c r="D207" s="5"/>
      <c r="G207" s="8"/>
      <c r="H207" s="8"/>
      <c r="I207" s="6"/>
      <c r="J207" s="6"/>
      <c r="K207" s="6"/>
      <c r="L207" s="6"/>
      <c r="M207" s="14"/>
      <c r="O207" s="68">
        <v>0</v>
      </c>
      <c r="P207" s="8"/>
      <c r="Q207" s="8"/>
      <c r="R207" s="8"/>
      <c r="S207" s="8"/>
      <c r="T207" s="8"/>
      <c r="U207" s="8"/>
      <c r="V207" s="8"/>
      <c r="W207" s="8"/>
      <c r="X207" s="8"/>
      <c r="Y207" s="58">
        <f t="shared" si="147"/>
        <v>0</v>
      </c>
      <c r="Z207" s="74">
        <v>0</v>
      </c>
      <c r="AA207" s="58">
        <f t="shared" si="149"/>
        <v>0</v>
      </c>
    </row>
    <row r="208" spans="2:29" ht="15" x14ac:dyDescent="0.35">
      <c r="B208" s="5" t="s">
        <v>329</v>
      </c>
      <c r="C208" s="36"/>
      <c r="D208" s="5"/>
      <c r="G208" s="8"/>
      <c r="H208" s="8"/>
      <c r="I208" s="6"/>
      <c r="J208" s="6"/>
      <c r="K208" s="6"/>
      <c r="L208" s="6"/>
      <c r="M208" s="14"/>
      <c r="O208" s="8">
        <f>O200+O206</f>
        <v>25747</v>
      </c>
      <c r="P208" s="8"/>
      <c r="Q208" s="8"/>
      <c r="R208" s="8"/>
      <c r="S208" s="8"/>
      <c r="T208" s="8"/>
      <c r="U208" s="8"/>
      <c r="V208" s="8"/>
      <c r="W208" s="8"/>
      <c r="X208" s="8"/>
      <c r="Y208" s="56">
        <f t="shared" si="147"/>
        <v>4.8703337711784893E-3</v>
      </c>
      <c r="Z208" s="8">
        <f>Z200+Z206</f>
        <v>44685.75</v>
      </c>
      <c r="AA208" s="56">
        <f t="shared" si="149"/>
        <v>7.9839934237871842E-3</v>
      </c>
    </row>
    <row r="209" spans="2:29" x14ac:dyDescent="0.2">
      <c r="M209" s="14" t="str">
        <f>IF(M196="*","*","")</f>
        <v>*</v>
      </c>
      <c r="P209" s="1"/>
      <c r="Q209" s="1"/>
      <c r="R209" s="1"/>
      <c r="S209" s="1"/>
      <c r="T209" s="1"/>
      <c r="U209" s="1"/>
      <c r="V209" s="1"/>
      <c r="W209" s="1"/>
      <c r="AA209" s="57"/>
    </row>
    <row r="210" spans="2:29" x14ac:dyDescent="0.2">
      <c r="B210" s="5" t="s">
        <v>36</v>
      </c>
      <c r="F210" s="3">
        <v>7900</v>
      </c>
      <c r="M210" s="21" t="e">
        <f>IF(M234="*","*","")</f>
        <v>#REF!</v>
      </c>
      <c r="P210" s="1"/>
      <c r="Q210" s="1"/>
      <c r="R210" s="1"/>
      <c r="S210" s="1"/>
      <c r="T210" s="1"/>
      <c r="U210" s="1"/>
      <c r="V210" s="1"/>
      <c r="W210" s="1"/>
      <c r="AA210" s="57"/>
    </row>
    <row r="211" spans="2:29" hidden="1" x14ac:dyDescent="0.2">
      <c r="C211" t="s">
        <v>200</v>
      </c>
      <c r="E211" s="3" t="s">
        <v>210</v>
      </c>
      <c r="F211" s="27">
        <v>7900160</v>
      </c>
      <c r="G211" s="27"/>
      <c r="H211" s="14" t="e">
        <f>+#REF!</f>
        <v>#REF!</v>
      </c>
      <c r="I211" s="14" t="e">
        <f t="shared" ref="I211:L212" si="152">+H211*Inf</f>
        <v>#REF!</v>
      </c>
      <c r="J211" s="14" t="e">
        <f>+I211*Inf*2</f>
        <v>#REF!</v>
      </c>
      <c r="K211" s="14" t="e">
        <f t="shared" si="152"/>
        <v>#REF!</v>
      </c>
      <c r="L211" s="14" t="e">
        <f t="shared" si="152"/>
        <v>#REF!</v>
      </c>
      <c r="M211" s="14" t="e">
        <f t="shared" si="146"/>
        <v>#REF!</v>
      </c>
      <c r="X211"/>
      <c r="Y211"/>
      <c r="Z211"/>
    </row>
    <row r="212" spans="2:29" ht="15" hidden="1" x14ac:dyDescent="0.35">
      <c r="C212" t="s">
        <v>197</v>
      </c>
      <c r="E212" s="3" t="s">
        <v>210</v>
      </c>
      <c r="F212" s="27"/>
      <c r="G212" s="27"/>
      <c r="H212" s="4" t="e">
        <f>+#REF!</f>
        <v>#REF!</v>
      </c>
      <c r="I212" s="4" t="e">
        <f t="shared" si="152"/>
        <v>#REF!</v>
      </c>
      <c r="J212" s="4" t="e">
        <f t="shared" si="152"/>
        <v>#REF!</v>
      </c>
      <c r="K212" s="4" t="e">
        <f t="shared" si="152"/>
        <v>#REF!</v>
      </c>
      <c r="L212" s="4" t="e">
        <f t="shared" si="152"/>
        <v>#REF!</v>
      </c>
      <c r="M212" s="14" t="e">
        <f t="shared" si="146"/>
        <v>#REF!</v>
      </c>
      <c r="X212"/>
      <c r="Y212"/>
      <c r="Z212"/>
    </row>
    <row r="213" spans="2:29" ht="15" hidden="1" x14ac:dyDescent="0.35">
      <c r="D213" s="5" t="s">
        <v>153</v>
      </c>
      <c r="E213" s="9"/>
      <c r="F213" s="27">
        <v>7900210</v>
      </c>
      <c r="G213" s="27"/>
      <c r="H213" s="6" t="e">
        <f>SUM(H211:H212)</f>
        <v>#REF!</v>
      </c>
      <c r="I213" s="6" t="e">
        <f>SUM(I211:I212)</f>
        <v>#REF!</v>
      </c>
      <c r="J213" s="6" t="e">
        <f>SUM(J211:J212)</f>
        <v>#REF!</v>
      </c>
      <c r="K213" s="6" t="e">
        <f>SUM(K211:K212)</f>
        <v>#REF!</v>
      </c>
      <c r="L213" s="6" t="e">
        <f>SUM(L211:L212)</f>
        <v>#REF!</v>
      </c>
      <c r="M213" s="14" t="e">
        <f t="shared" si="146"/>
        <v>#REF!</v>
      </c>
      <c r="X213"/>
      <c r="Y213"/>
      <c r="Z213"/>
    </row>
    <row r="214" spans="2:29" hidden="1" x14ac:dyDescent="0.2">
      <c r="C214" t="s">
        <v>7</v>
      </c>
      <c r="E214" s="22">
        <v>1.4999999999999999E-2</v>
      </c>
      <c r="F214" s="27">
        <v>7900220</v>
      </c>
      <c r="G214" s="27"/>
      <c r="H214" s="14" t="e">
        <f>+H213*0.015</f>
        <v>#REF!</v>
      </c>
      <c r="I214" s="14" t="e">
        <f>+I213*0.015</f>
        <v>#REF!</v>
      </c>
      <c r="J214" s="14" t="e">
        <f>+J213*0.015</f>
        <v>#REF!</v>
      </c>
      <c r="K214" s="14" t="e">
        <f>+K213*0.015</f>
        <v>#REF!</v>
      </c>
      <c r="L214" s="14" t="e">
        <f>+L213*0.015</f>
        <v>#REF!</v>
      </c>
      <c r="M214" s="14" t="e">
        <f t="shared" si="146"/>
        <v>#REF!</v>
      </c>
      <c r="X214"/>
      <c r="Y214"/>
      <c r="Z214"/>
    </row>
    <row r="215" spans="2:29" hidden="1" x14ac:dyDescent="0.2">
      <c r="C215" t="s">
        <v>8</v>
      </c>
      <c r="E215" s="3" t="s">
        <v>52</v>
      </c>
      <c r="F215" s="27">
        <v>7900230</v>
      </c>
      <c r="G215" s="27"/>
      <c r="H215" s="14" t="e">
        <f>+H213*0.0765+0.027*(#REF!+#REF!)*7000</f>
        <v>#REF!</v>
      </c>
      <c r="I215" s="14" t="e">
        <f>+I213*0.0765+0.027*(#REF!+#REF!)*7000</f>
        <v>#REF!</v>
      </c>
      <c r="J215" s="14" t="e">
        <f>+J213*0.0765+0.027*(#REF!+#REF!+0)*7000</f>
        <v>#REF!</v>
      </c>
      <c r="K215" s="14" t="e">
        <f>+K213*0.0765+0.027*(#REF!+#REF!+0)*7000</f>
        <v>#REF!</v>
      </c>
      <c r="L215" s="14" t="e">
        <f>+L213*0.0765+0.027*(#REF!+#REF!+0)*7000</f>
        <v>#REF!</v>
      </c>
      <c r="M215" s="14" t="e">
        <f t="shared" si="146"/>
        <v>#REF!</v>
      </c>
      <c r="X215"/>
      <c r="Y215"/>
      <c r="Z215"/>
    </row>
    <row r="216" spans="2:29" ht="25.5" hidden="1" x14ac:dyDescent="0.2">
      <c r="C216" t="s">
        <v>9</v>
      </c>
      <c r="E216" s="23" t="str">
        <f>CONCATENATE("$",ins*2," per month per employee / 50% participation")</f>
        <v>$533.333333333333 per month per employee / 50% participation</v>
      </c>
      <c r="F216" s="27">
        <v>7900240</v>
      </c>
      <c r="G216" s="27"/>
      <c r="H216" s="14" t="e">
        <f>(#REF!+#REF!)*ins*12</f>
        <v>#REF!</v>
      </c>
      <c r="I216" s="14" t="e">
        <f>(#REF!+#REF!)*ins*12*Inf</f>
        <v>#REF!</v>
      </c>
      <c r="J216" s="14" t="e">
        <f>(#REF!+#REF!+0)*ins*12*Inf^2</f>
        <v>#REF!</v>
      </c>
      <c r="K216" s="14" t="e">
        <f>(#REF!+#REF!+0)*ins*12*Inf^3</f>
        <v>#REF!</v>
      </c>
      <c r="L216" s="14" t="e">
        <f>(#REF!+#REF!+0)*ins*12*Inf^4</f>
        <v>#REF!</v>
      </c>
      <c r="M216" s="14" t="e">
        <f t="shared" si="146"/>
        <v>#REF!</v>
      </c>
      <c r="X216"/>
      <c r="Y216"/>
      <c r="Z216"/>
    </row>
    <row r="217" spans="2:29" ht="15" hidden="1" x14ac:dyDescent="0.35">
      <c r="C217" t="s">
        <v>10</v>
      </c>
      <c r="E217" s="11" t="s">
        <v>53</v>
      </c>
      <c r="F217" s="27">
        <v>7600250</v>
      </c>
      <c r="G217" s="27"/>
      <c r="H217" s="4" t="e">
        <f>+H213*0.01</f>
        <v>#REF!</v>
      </c>
      <c r="I217" s="4" t="e">
        <f>+I213*0.01</f>
        <v>#REF!</v>
      </c>
      <c r="J217" s="4" t="e">
        <f>+J213*0.01</f>
        <v>#REF!</v>
      </c>
      <c r="K217" s="4" t="e">
        <f>+K213*0.01</f>
        <v>#REF!</v>
      </c>
      <c r="L217" s="4" t="e">
        <f>+L213*0.01</f>
        <v>#REF!</v>
      </c>
      <c r="M217" s="14" t="e">
        <f t="shared" si="146"/>
        <v>#REF!</v>
      </c>
      <c r="X217"/>
      <c r="Y217"/>
      <c r="Z217"/>
    </row>
    <row r="218" spans="2:29" ht="15" hidden="1" x14ac:dyDescent="0.35">
      <c r="D218" s="5" t="s">
        <v>154</v>
      </c>
      <c r="E218" s="9"/>
      <c r="F218" s="26"/>
      <c r="G218" s="35"/>
      <c r="H218" s="6" t="e">
        <f>SUM(H214:H217)</f>
        <v>#REF!</v>
      </c>
      <c r="I218" s="6" t="e">
        <f>SUM(I214:I217)</f>
        <v>#REF!</v>
      </c>
      <c r="J218" s="6" t="e">
        <f>SUM(J214:J217)</f>
        <v>#REF!</v>
      </c>
      <c r="K218" s="6" t="e">
        <f>SUM(K214:K217)</f>
        <v>#REF!</v>
      </c>
      <c r="L218" s="6" t="e">
        <f>SUM(L214:L217)</f>
        <v>#REF!</v>
      </c>
      <c r="M218" s="14" t="e">
        <f t="shared" si="146"/>
        <v>#REF!</v>
      </c>
      <c r="X218"/>
      <c r="Y218"/>
      <c r="Z218"/>
    </row>
    <row r="219" spans="2:29" ht="15" x14ac:dyDescent="0.35">
      <c r="C219" t="s">
        <v>249</v>
      </c>
      <c r="D219" s="5"/>
      <c r="E219" s="31"/>
      <c r="F219" s="27">
        <v>7900160</v>
      </c>
      <c r="G219" s="37">
        <v>46000</v>
      </c>
      <c r="H219" s="4">
        <v>51800</v>
      </c>
      <c r="I219" s="6"/>
      <c r="J219" s="6"/>
      <c r="K219" s="6"/>
      <c r="L219" s="6"/>
      <c r="M219" s="14"/>
      <c r="O219" s="34">
        <v>76000</v>
      </c>
      <c r="P219" s="4">
        <f>O219*1.01</f>
        <v>76760</v>
      </c>
      <c r="Q219" s="4">
        <f t="shared" ref="Q219:W219" si="153">P219*1.01</f>
        <v>77527.600000000006</v>
      </c>
      <c r="R219" s="4">
        <f t="shared" si="153"/>
        <v>78302.876000000004</v>
      </c>
      <c r="S219" s="4">
        <f t="shared" si="153"/>
        <v>79085.904760000005</v>
      </c>
      <c r="T219" s="4">
        <f t="shared" si="153"/>
        <v>79876.7638076</v>
      </c>
      <c r="U219" s="4">
        <f t="shared" si="153"/>
        <v>80675.531445675995</v>
      </c>
      <c r="V219" s="4">
        <f t="shared" si="153"/>
        <v>81482.28676013276</v>
      </c>
      <c r="W219" s="4">
        <f t="shared" si="153"/>
        <v>82297.109627734084</v>
      </c>
      <c r="X219" s="42">
        <f>O219/12</f>
        <v>6333.333333333333</v>
      </c>
      <c r="Y219" s="58">
        <f t="shared" ref="Y219:Y237" si="154">+O219/$O$17</f>
        <v>1.4376252247235219E-2</v>
      </c>
      <c r="Z219" s="74">
        <f>Salaries!E33</f>
        <v>80000</v>
      </c>
      <c r="AA219" s="58">
        <f t="shared" ref="AA219:AA237" si="155">+Z219/Z$17</f>
        <v>1.4293582940936982E-2</v>
      </c>
      <c r="AB219" s="36" t="s">
        <v>314</v>
      </c>
    </row>
    <row r="220" spans="2:29" ht="15" x14ac:dyDescent="0.35">
      <c r="D220" s="5" t="s">
        <v>273</v>
      </c>
      <c r="E220" s="31"/>
      <c r="F220" s="27"/>
      <c r="G220" s="8">
        <f t="shared" ref="G220:N220" si="156">SUBTOTAL(9,G219)</f>
        <v>46000</v>
      </c>
      <c r="H220" s="8">
        <f>SUBTOTAL(9,H219)</f>
        <v>51800</v>
      </c>
      <c r="I220" s="6">
        <f t="shared" si="156"/>
        <v>0</v>
      </c>
      <c r="J220" s="6">
        <f t="shared" si="156"/>
        <v>0</v>
      </c>
      <c r="K220" s="6">
        <f t="shared" si="156"/>
        <v>0</v>
      </c>
      <c r="L220" s="6">
        <f t="shared" si="156"/>
        <v>0</v>
      </c>
      <c r="M220" s="6">
        <f t="shared" si="156"/>
        <v>0</v>
      </c>
      <c r="N220" s="6">
        <f t="shared" si="156"/>
        <v>0</v>
      </c>
      <c r="O220" s="8">
        <f t="shared" ref="O220:Q220" si="157">SUBTOTAL(9,O219)</f>
        <v>76000</v>
      </c>
      <c r="P220" s="8">
        <f t="shared" si="157"/>
        <v>76760</v>
      </c>
      <c r="Q220" s="8">
        <f t="shared" si="157"/>
        <v>77527.600000000006</v>
      </c>
      <c r="R220" s="8">
        <f t="shared" ref="R220:W220" si="158">SUBTOTAL(9,R219)</f>
        <v>78302.876000000004</v>
      </c>
      <c r="S220" s="8">
        <f t="shared" si="158"/>
        <v>79085.904760000005</v>
      </c>
      <c r="T220" s="8">
        <f t="shared" si="158"/>
        <v>79876.7638076</v>
      </c>
      <c r="U220" s="8">
        <f t="shared" si="158"/>
        <v>80675.531445675995</v>
      </c>
      <c r="V220" s="8">
        <f t="shared" si="158"/>
        <v>81482.28676013276</v>
      </c>
      <c r="W220" s="8">
        <f t="shared" si="158"/>
        <v>82297.109627734084</v>
      </c>
      <c r="Y220" s="56">
        <f t="shared" si="154"/>
        <v>1.4376252247235219E-2</v>
      </c>
      <c r="Z220" s="8">
        <f>+Z219</f>
        <v>80000</v>
      </c>
      <c r="AA220" s="8">
        <f t="shared" ref="AA220:AC220" si="159">+AA219</f>
        <v>1.4293582940936982E-2</v>
      </c>
      <c r="AB220" s="8" t="str">
        <f t="shared" si="159"/>
        <v>3,5% incr</v>
      </c>
      <c r="AC220" s="8">
        <f t="shared" si="159"/>
        <v>0</v>
      </c>
    </row>
    <row r="221" spans="2:29" ht="15" x14ac:dyDescent="0.35">
      <c r="C221" t="s">
        <v>7</v>
      </c>
      <c r="D221" s="5"/>
      <c r="E221" s="31"/>
      <c r="F221" s="27">
        <v>7900210</v>
      </c>
      <c r="G221" s="14">
        <v>0</v>
      </c>
      <c r="H221" s="14">
        <v>654</v>
      </c>
      <c r="I221" s="6"/>
      <c r="J221" s="6"/>
      <c r="K221" s="6"/>
      <c r="L221" s="6"/>
      <c r="M221" s="14"/>
      <c r="O221" s="14">
        <v>0</v>
      </c>
      <c r="P221" s="14">
        <f t="shared" ref="P221:Q221" si="160">P220*0.015</f>
        <v>1151.3999999999999</v>
      </c>
      <c r="Q221" s="14">
        <f t="shared" si="160"/>
        <v>1162.914</v>
      </c>
      <c r="R221" s="14">
        <f t="shared" ref="R221" si="161">R220*0.015</f>
        <v>1174.54314</v>
      </c>
      <c r="S221" s="14">
        <f t="shared" ref="S221" si="162">S220*0.015</f>
        <v>1186.2885714000001</v>
      </c>
      <c r="T221" s="14">
        <f t="shared" ref="T221" si="163">T220*0.015</f>
        <v>1198.1514571139999</v>
      </c>
      <c r="U221" s="14">
        <f t="shared" ref="U221" si="164">U220*0.015</f>
        <v>1210.1329716851399</v>
      </c>
      <c r="V221" s="14">
        <f t="shared" ref="V221" si="165">V220*0.015</f>
        <v>1222.2343014019914</v>
      </c>
      <c r="W221" s="14">
        <f t="shared" ref="W221" si="166">W220*0.015</f>
        <v>1234.4566444160112</v>
      </c>
      <c r="X221" s="42">
        <f t="shared" ref="X221:X225" si="167">O221/12</f>
        <v>0</v>
      </c>
      <c r="Y221" s="57">
        <f t="shared" si="154"/>
        <v>0</v>
      </c>
      <c r="Z221" s="1">
        <f>+O221</f>
        <v>0</v>
      </c>
      <c r="AA221" s="57">
        <f t="shared" si="155"/>
        <v>0</v>
      </c>
    </row>
    <row r="222" spans="2:29" ht="15" x14ac:dyDescent="0.35">
      <c r="C222" t="s">
        <v>8</v>
      </c>
      <c r="D222" s="5"/>
      <c r="E222" s="31"/>
      <c r="F222" s="27">
        <v>7900220</v>
      </c>
      <c r="G222" s="14">
        <v>2907</v>
      </c>
      <c r="H222" s="14">
        <v>3963</v>
      </c>
      <c r="I222" s="6"/>
      <c r="J222" s="6"/>
      <c r="K222" s="6"/>
      <c r="L222" s="6"/>
      <c r="M222" s="14"/>
      <c r="O222" s="14">
        <f>O220*0.0765</f>
        <v>5814</v>
      </c>
      <c r="P222" s="14">
        <v>2907</v>
      </c>
      <c r="Q222" s="14">
        <v>2907</v>
      </c>
      <c r="R222" s="14">
        <v>2907</v>
      </c>
      <c r="S222" s="14">
        <v>2907</v>
      </c>
      <c r="T222" s="14">
        <v>2907</v>
      </c>
      <c r="U222" s="14">
        <v>2907</v>
      </c>
      <c r="V222" s="14">
        <v>2907</v>
      </c>
      <c r="W222" s="14">
        <v>2907</v>
      </c>
      <c r="X222" s="42">
        <f t="shared" si="167"/>
        <v>484.5</v>
      </c>
      <c r="Y222" s="57">
        <f t="shared" si="154"/>
        <v>1.0997832969134942E-3</v>
      </c>
      <c r="Z222" s="14">
        <f>Z220*0.0765</f>
        <v>6120</v>
      </c>
      <c r="AA222" s="57">
        <f t="shared" si="155"/>
        <v>1.0934590949816792E-3</v>
      </c>
    </row>
    <row r="223" spans="2:29" ht="15" x14ac:dyDescent="0.35">
      <c r="C223" t="s">
        <v>9</v>
      </c>
      <c r="D223" s="5"/>
      <c r="E223" s="31"/>
      <c r="F223" s="27">
        <v>7900230</v>
      </c>
      <c r="G223" s="14">
        <f>421*12</f>
        <v>5052</v>
      </c>
      <c r="H223" s="14">
        <v>8000</v>
      </c>
      <c r="I223" s="6"/>
      <c r="J223" s="6"/>
      <c r="K223" s="6"/>
      <c r="L223" s="6"/>
      <c r="M223" s="14"/>
      <c r="O223" s="14">
        <v>4488</v>
      </c>
      <c r="P223" s="14">
        <f>O223</f>
        <v>4488</v>
      </c>
      <c r="Q223" s="14">
        <f>P223</f>
        <v>4488</v>
      </c>
      <c r="R223" s="14">
        <f t="shared" ref="R223:W223" si="168">Q223</f>
        <v>4488</v>
      </c>
      <c r="S223" s="14">
        <f t="shared" si="168"/>
        <v>4488</v>
      </c>
      <c r="T223" s="14">
        <f t="shared" si="168"/>
        <v>4488</v>
      </c>
      <c r="U223" s="14">
        <f t="shared" si="168"/>
        <v>4488</v>
      </c>
      <c r="V223" s="14">
        <f t="shared" si="168"/>
        <v>4488</v>
      </c>
      <c r="W223" s="14">
        <f t="shared" si="168"/>
        <v>4488</v>
      </c>
      <c r="X223" s="42">
        <f t="shared" si="167"/>
        <v>374</v>
      </c>
      <c r="Y223" s="57">
        <f t="shared" si="154"/>
        <v>8.4895552744199566E-4</v>
      </c>
      <c r="Z223" s="1">
        <v>10000</v>
      </c>
      <c r="AA223" s="57">
        <f t="shared" si="155"/>
        <v>1.7866978676171227E-3</v>
      </c>
      <c r="AB223" s="36" t="s">
        <v>313</v>
      </c>
    </row>
    <row r="224" spans="2:29" ht="15" x14ac:dyDescent="0.35">
      <c r="C224" t="s">
        <v>10</v>
      </c>
      <c r="D224" s="5"/>
      <c r="E224" s="31"/>
      <c r="F224" s="27">
        <v>7900240</v>
      </c>
      <c r="G224" s="30">
        <f>+G220*0.0057</f>
        <v>262.2</v>
      </c>
      <c r="H224" s="30">
        <f>+H220*0.0057</f>
        <v>295.26</v>
      </c>
      <c r="I224" s="6"/>
      <c r="J224" s="6"/>
      <c r="K224" s="6"/>
      <c r="L224" s="6"/>
      <c r="M224" s="14"/>
      <c r="O224" s="30">
        <f>+O220*0.0057</f>
        <v>433.2</v>
      </c>
      <c r="P224" s="30">
        <f t="shared" ref="P224:Q224" si="169">+P220*0.0057</f>
        <v>437.53200000000004</v>
      </c>
      <c r="Q224" s="30">
        <f t="shared" si="169"/>
        <v>441.90732000000003</v>
      </c>
      <c r="R224" s="30">
        <f t="shared" ref="R224:W224" si="170">+R220*0.0057</f>
        <v>446.32639320000004</v>
      </c>
      <c r="S224" s="30">
        <f t="shared" si="170"/>
        <v>450.78965713200006</v>
      </c>
      <c r="T224" s="30">
        <f t="shared" si="170"/>
        <v>455.29755370332003</v>
      </c>
      <c r="U224" s="30">
        <f t="shared" si="170"/>
        <v>459.85052924035318</v>
      </c>
      <c r="V224" s="30">
        <f t="shared" si="170"/>
        <v>464.44903453275674</v>
      </c>
      <c r="W224" s="30">
        <f t="shared" si="170"/>
        <v>469.09352487808428</v>
      </c>
      <c r="X224" s="42">
        <f t="shared" si="167"/>
        <v>36.1</v>
      </c>
      <c r="Y224" s="57">
        <f t="shared" si="154"/>
        <v>8.1944637809240752E-5</v>
      </c>
      <c r="Z224" s="1">
        <v>6000</v>
      </c>
      <c r="AA224" s="57">
        <f t="shared" si="155"/>
        <v>1.0720187205702737E-3</v>
      </c>
    </row>
    <row r="225" spans="1:29" ht="15" x14ac:dyDescent="0.35">
      <c r="C225" s="29" t="s">
        <v>269</v>
      </c>
      <c r="E225" s="31"/>
      <c r="F225" s="27">
        <v>7600250</v>
      </c>
      <c r="G225" s="4">
        <f>7000*0.027*1</f>
        <v>189</v>
      </c>
      <c r="H225" s="4">
        <f>7000*0.027*1</f>
        <v>189</v>
      </c>
      <c r="I225" s="6"/>
      <c r="J225" s="6"/>
      <c r="K225" s="6"/>
      <c r="L225" s="6"/>
      <c r="M225" s="14"/>
      <c r="O225" s="4">
        <f>7000*0.007*5</f>
        <v>245</v>
      </c>
      <c r="P225" s="4">
        <f>7000*0.027*4</f>
        <v>756</v>
      </c>
      <c r="Q225" s="4">
        <f>7000*0.027*4</f>
        <v>756</v>
      </c>
      <c r="R225" s="4">
        <f t="shared" ref="R225:W225" si="171">7000*0.027*4</f>
        <v>756</v>
      </c>
      <c r="S225" s="4">
        <f t="shared" si="171"/>
        <v>756</v>
      </c>
      <c r="T225" s="4">
        <f t="shared" si="171"/>
        <v>756</v>
      </c>
      <c r="U225" s="4">
        <f t="shared" si="171"/>
        <v>756</v>
      </c>
      <c r="V225" s="4">
        <f t="shared" si="171"/>
        <v>756</v>
      </c>
      <c r="W225" s="4">
        <f t="shared" si="171"/>
        <v>756</v>
      </c>
      <c r="X225" s="42">
        <f t="shared" si="167"/>
        <v>20.416666666666668</v>
      </c>
      <c r="Y225" s="58">
        <f t="shared" si="154"/>
        <v>4.6344497375955643E-5</v>
      </c>
      <c r="Z225" s="4">
        <f>+O225</f>
        <v>245</v>
      </c>
      <c r="AA225" s="69">
        <f t="shared" si="155"/>
        <v>4.3774097756619509E-5</v>
      </c>
    </row>
    <row r="226" spans="1:29" ht="15" x14ac:dyDescent="0.35">
      <c r="D226" s="5" t="s">
        <v>274</v>
      </c>
      <c r="E226" s="31"/>
      <c r="F226" s="31"/>
      <c r="G226" s="8">
        <f>SUBTOTAL(9,G221:G225)</f>
        <v>8410.2000000000007</v>
      </c>
      <c r="H226" s="8">
        <f>SUBTOTAL(9,H221:H225)</f>
        <v>13101.26</v>
      </c>
      <c r="I226" s="6">
        <f t="shared" ref="I226:Q226" si="172">SUBTOTAL(9,I221:I225)</f>
        <v>0</v>
      </c>
      <c r="J226" s="6">
        <f t="shared" si="172"/>
        <v>0</v>
      </c>
      <c r="K226" s="6">
        <f t="shared" si="172"/>
        <v>0</v>
      </c>
      <c r="L226" s="6">
        <f t="shared" si="172"/>
        <v>0</v>
      </c>
      <c r="M226" s="6">
        <f t="shared" si="172"/>
        <v>0</v>
      </c>
      <c r="N226" s="6">
        <f t="shared" si="172"/>
        <v>0</v>
      </c>
      <c r="O226" s="8">
        <f t="shared" si="172"/>
        <v>10980.2</v>
      </c>
      <c r="P226" s="8">
        <f t="shared" si="172"/>
        <v>9739.9319999999989</v>
      </c>
      <c r="Q226" s="8">
        <f t="shared" si="172"/>
        <v>9755.8213200000009</v>
      </c>
      <c r="R226" s="8">
        <f t="shared" ref="R226:W226" si="173">SUBTOTAL(9,R221:R225)</f>
        <v>9771.8695332000007</v>
      </c>
      <c r="S226" s="8">
        <f t="shared" si="173"/>
        <v>9788.0782285320001</v>
      </c>
      <c r="T226" s="8">
        <f t="shared" si="173"/>
        <v>9804.4490108173195</v>
      </c>
      <c r="U226" s="8">
        <f t="shared" si="173"/>
        <v>9820.983500925493</v>
      </c>
      <c r="V226" s="8">
        <f t="shared" si="173"/>
        <v>9837.6833359347474</v>
      </c>
      <c r="W226" s="8">
        <f t="shared" si="173"/>
        <v>9854.5501692940961</v>
      </c>
      <c r="Y226" s="56">
        <f t="shared" si="154"/>
        <v>2.0770279595406864E-3</v>
      </c>
      <c r="Z226" s="8">
        <f>SUBTOTAL(9,Z221:Z225)</f>
        <v>22365</v>
      </c>
      <c r="AA226" s="8">
        <f t="shared" ref="AA226:AC226" si="174">SUBTOTAL(9,AA221:AA225)</f>
        <v>3.9959497809256951E-3</v>
      </c>
      <c r="AB226" s="8">
        <f t="shared" si="174"/>
        <v>0</v>
      </c>
      <c r="AC226" s="8">
        <f t="shared" si="174"/>
        <v>0</v>
      </c>
    </row>
    <row r="227" spans="1:29" x14ac:dyDescent="0.2">
      <c r="C227" t="s">
        <v>11</v>
      </c>
      <c r="E227" s="3" t="s">
        <v>226</v>
      </c>
      <c r="F227" s="3">
        <v>7900390</v>
      </c>
      <c r="G227" s="14">
        <f>2500*0</f>
        <v>0</v>
      </c>
      <c r="H227" s="14">
        <v>10000</v>
      </c>
      <c r="I227" s="14" t="e">
        <f>+H227*(1+((I7-H7)/H7)/2)*Inf</f>
        <v>#REF!</v>
      </c>
      <c r="J227" s="14" t="e">
        <f>+I227*(1+((J7-I7)/I7)/2)*Inf+25000</f>
        <v>#REF!</v>
      </c>
      <c r="K227" s="14" t="e">
        <f>+J227*(1+((K7-J7)/J7)/2)*Inf+25000</f>
        <v>#REF!</v>
      </c>
      <c r="L227" s="14" t="e">
        <f>+K227*(1+((L7-K7)/K7)/2)*Inf</f>
        <v>#REF!</v>
      </c>
      <c r="M227" s="14" t="e">
        <f t="shared" si="146"/>
        <v>#REF!</v>
      </c>
      <c r="O227" s="14">
        <v>10000</v>
      </c>
      <c r="P227" s="14">
        <v>20000</v>
      </c>
      <c r="Q227" s="14">
        <v>20000</v>
      </c>
      <c r="R227" s="14">
        <v>20000</v>
      </c>
      <c r="S227" s="14">
        <v>20000</v>
      </c>
      <c r="T227" s="14">
        <v>20000</v>
      </c>
      <c r="U227" s="14">
        <v>20000</v>
      </c>
      <c r="V227" s="14">
        <v>20000</v>
      </c>
      <c r="W227" s="14">
        <v>20000</v>
      </c>
      <c r="X227" s="42">
        <f t="shared" ref="X227:X232" si="175">O227/12</f>
        <v>833.33333333333337</v>
      </c>
      <c r="Y227" s="57">
        <f t="shared" si="154"/>
        <v>1.8916121377941079E-3</v>
      </c>
      <c r="Z227" s="1">
        <f>+O227</f>
        <v>10000</v>
      </c>
      <c r="AA227" s="57">
        <f t="shared" si="155"/>
        <v>1.7866978676171227E-3</v>
      </c>
    </row>
    <row r="228" spans="1:29" x14ac:dyDescent="0.2">
      <c r="C228" t="s">
        <v>21</v>
      </c>
      <c r="E228" s="3" t="s">
        <v>211</v>
      </c>
      <c r="F228" s="3">
        <v>7900320</v>
      </c>
      <c r="G228" s="1">
        <v>9000</v>
      </c>
      <c r="H228" s="1">
        <v>19000</v>
      </c>
      <c r="I228" s="14">
        <f t="shared" ref="I228:L229" si="176">+H228*Inf</f>
        <v>19570</v>
      </c>
      <c r="J228" s="14">
        <f t="shared" si="176"/>
        <v>20157.100000000002</v>
      </c>
      <c r="K228" s="14">
        <f t="shared" si="176"/>
        <v>20761.813000000002</v>
      </c>
      <c r="L228" s="14">
        <f t="shared" si="176"/>
        <v>21384.667390000002</v>
      </c>
      <c r="M228" s="14" t="str">
        <f t="shared" si="146"/>
        <v>*</v>
      </c>
      <c r="O228" s="1">
        <v>80000</v>
      </c>
      <c r="P228" s="1">
        <v>30000</v>
      </c>
      <c r="Q228" s="1">
        <v>30000</v>
      </c>
      <c r="R228" s="1">
        <v>30000</v>
      </c>
      <c r="S228" s="1">
        <v>30000</v>
      </c>
      <c r="T228" s="1">
        <v>30000</v>
      </c>
      <c r="U228" s="1">
        <v>30000</v>
      </c>
      <c r="V228" s="1">
        <v>30000</v>
      </c>
      <c r="W228" s="1">
        <v>30000</v>
      </c>
      <c r="X228" s="42">
        <f t="shared" si="175"/>
        <v>6666.666666666667</v>
      </c>
      <c r="Y228" s="57">
        <f t="shared" si="154"/>
        <v>1.5132897102352863E-2</v>
      </c>
      <c r="Z228" s="1">
        <f t="shared" ref="Z228:Z232" si="177">+O228</f>
        <v>80000</v>
      </c>
      <c r="AA228" s="57">
        <f t="shared" si="155"/>
        <v>1.4293582940936982E-2</v>
      </c>
    </row>
    <row r="229" spans="1:29" x14ac:dyDescent="0.2">
      <c r="C229" t="s">
        <v>37</v>
      </c>
      <c r="E229" s="3" t="s">
        <v>241</v>
      </c>
      <c r="F229" s="3">
        <v>7900370</v>
      </c>
      <c r="G229" s="1">
        <v>9000</v>
      </c>
      <c r="H229" s="1">
        <v>9000</v>
      </c>
      <c r="I229" s="14">
        <f t="shared" si="176"/>
        <v>9270</v>
      </c>
      <c r="J229" s="14">
        <f t="shared" si="176"/>
        <v>9548.1</v>
      </c>
      <c r="K229" s="14">
        <f t="shared" si="176"/>
        <v>9834.5430000000015</v>
      </c>
      <c r="L229" s="14">
        <f t="shared" si="176"/>
        <v>10129.579290000001</v>
      </c>
      <c r="M229" s="14" t="str">
        <f t="shared" si="146"/>
        <v>*</v>
      </c>
      <c r="O229" s="1">
        <v>20000</v>
      </c>
      <c r="P229" s="1">
        <v>15000</v>
      </c>
      <c r="Q229" s="1">
        <v>15000</v>
      </c>
      <c r="R229" s="1">
        <v>15000</v>
      </c>
      <c r="S229" s="1">
        <v>15000</v>
      </c>
      <c r="T229" s="1">
        <v>15000</v>
      </c>
      <c r="U229" s="1">
        <v>15000</v>
      </c>
      <c r="V229" s="1">
        <v>15000</v>
      </c>
      <c r="W229" s="1">
        <v>15000</v>
      </c>
      <c r="X229" s="42">
        <f t="shared" si="175"/>
        <v>1666.6666666666667</v>
      </c>
      <c r="Y229" s="57">
        <f t="shared" si="154"/>
        <v>3.7832242755882158E-3</v>
      </c>
      <c r="Z229" s="1">
        <v>30000</v>
      </c>
      <c r="AA229" s="57">
        <f t="shared" si="155"/>
        <v>5.3600936028513685E-3</v>
      </c>
    </row>
    <row r="230" spans="1:29" x14ac:dyDescent="0.2">
      <c r="C230" t="s">
        <v>38</v>
      </c>
      <c r="E230" s="3" t="s">
        <v>231</v>
      </c>
      <c r="F230" s="3">
        <v>7900380</v>
      </c>
      <c r="G230" s="1">
        <v>42000</v>
      </c>
      <c r="H230" s="1">
        <v>50000</v>
      </c>
      <c r="I230" s="14" t="e">
        <f>+H230*(1+((I7-H7)/H7)/2)*Inf</f>
        <v>#REF!</v>
      </c>
      <c r="J230" s="14" t="e">
        <f>+I230*(1+((J7-I7)/I7)/2)*Inf</f>
        <v>#REF!</v>
      </c>
      <c r="K230" s="14" t="e">
        <f>+J230*(1+((K7-J7)/J7)/2)*Inf</f>
        <v>#REF!</v>
      </c>
      <c r="L230" s="14" t="e">
        <f>+K230*(1+((L7-K7)/K7)/2)*Inf</f>
        <v>#REF!</v>
      </c>
      <c r="M230" s="14" t="e">
        <f t="shared" si="146"/>
        <v>#REF!</v>
      </c>
      <c r="O230" s="1">
        <v>90000</v>
      </c>
      <c r="P230" s="1">
        <v>100000</v>
      </c>
      <c r="Q230" s="1">
        <v>100000</v>
      </c>
      <c r="R230" s="1">
        <f t="shared" ref="R230:W230" si="178">Q230</f>
        <v>100000</v>
      </c>
      <c r="S230" s="1">
        <f t="shared" si="178"/>
        <v>100000</v>
      </c>
      <c r="T230" s="1">
        <f t="shared" si="178"/>
        <v>100000</v>
      </c>
      <c r="U230" s="1">
        <f t="shared" si="178"/>
        <v>100000</v>
      </c>
      <c r="V230" s="1">
        <f t="shared" si="178"/>
        <v>100000</v>
      </c>
      <c r="W230" s="1">
        <f t="shared" si="178"/>
        <v>100000</v>
      </c>
      <c r="X230" s="42">
        <f t="shared" si="175"/>
        <v>7500</v>
      </c>
      <c r="Y230" s="57">
        <f t="shared" si="154"/>
        <v>1.7024509240146972E-2</v>
      </c>
      <c r="Z230" s="1">
        <f t="shared" si="177"/>
        <v>90000</v>
      </c>
      <c r="AA230" s="57">
        <f t="shared" si="155"/>
        <v>1.6080280808554104E-2</v>
      </c>
    </row>
    <row r="231" spans="1:29" x14ac:dyDescent="0.2">
      <c r="C231" t="s">
        <v>13</v>
      </c>
      <c r="E231" s="3" t="s">
        <v>232</v>
      </c>
      <c r="F231" s="3">
        <v>7900510</v>
      </c>
      <c r="G231" s="1">
        <v>3500</v>
      </c>
      <c r="H231" s="1">
        <v>0</v>
      </c>
      <c r="I231" s="14" t="e">
        <f>+H231/H7*I7*Inf</f>
        <v>#REF!</v>
      </c>
      <c r="J231" s="14" t="e">
        <f>+I231/I7*J7*Inf^2</f>
        <v>#REF!</v>
      </c>
      <c r="K231" s="14" t="e">
        <f>+J231/J7*K7*Inf^3</f>
        <v>#REF!</v>
      </c>
      <c r="L231" s="14" t="e">
        <f>+K231/K7*L7*Inf^4</f>
        <v>#REF!</v>
      </c>
      <c r="M231" s="14" t="e">
        <f t="shared" si="146"/>
        <v>#REF!</v>
      </c>
      <c r="O231" s="1">
        <v>2000</v>
      </c>
      <c r="P231" s="1">
        <v>7000</v>
      </c>
      <c r="Q231" s="1">
        <v>7000</v>
      </c>
      <c r="R231" s="1">
        <v>7000</v>
      </c>
      <c r="S231" s="1">
        <v>7000</v>
      </c>
      <c r="T231" s="1">
        <v>7000</v>
      </c>
      <c r="U231" s="1">
        <v>7000</v>
      </c>
      <c r="V231" s="1">
        <v>7000</v>
      </c>
      <c r="W231" s="1">
        <v>7000</v>
      </c>
      <c r="X231" s="42">
        <f t="shared" si="175"/>
        <v>166.66666666666666</v>
      </c>
      <c r="Y231" s="57">
        <f t="shared" si="154"/>
        <v>3.7832242755882157E-4</v>
      </c>
      <c r="Z231" s="1">
        <v>5000</v>
      </c>
      <c r="AA231" s="57">
        <f t="shared" si="155"/>
        <v>8.9334893380856137E-4</v>
      </c>
    </row>
    <row r="232" spans="1:29" ht="15" x14ac:dyDescent="0.35">
      <c r="C232" t="s">
        <v>15</v>
      </c>
      <c r="E232" s="3" t="s">
        <v>211</v>
      </c>
      <c r="F232" s="3">
        <v>7900642</v>
      </c>
      <c r="G232" s="4">
        <v>1000</v>
      </c>
      <c r="H232" s="4">
        <v>0</v>
      </c>
      <c r="I232" s="4">
        <f>+H232*Inf</f>
        <v>0</v>
      </c>
      <c r="J232" s="4">
        <f>+I232*Inf</f>
        <v>0</v>
      </c>
      <c r="K232" s="4">
        <f>+J232*Inf</f>
        <v>0</v>
      </c>
      <c r="L232" s="4">
        <f>+K232*Inf</f>
        <v>0</v>
      </c>
      <c r="M232" s="14" t="str">
        <f t="shared" si="146"/>
        <v/>
      </c>
      <c r="O232" s="4">
        <v>1000</v>
      </c>
      <c r="P232" s="4">
        <v>1000</v>
      </c>
      <c r="Q232" s="4">
        <v>1000</v>
      </c>
      <c r="R232" s="4">
        <v>1000</v>
      </c>
      <c r="S232" s="4">
        <v>1000</v>
      </c>
      <c r="T232" s="4">
        <v>1000</v>
      </c>
      <c r="U232" s="4">
        <v>1000</v>
      </c>
      <c r="V232" s="4">
        <v>1000</v>
      </c>
      <c r="W232" s="4">
        <v>1000</v>
      </c>
      <c r="X232" s="42">
        <f t="shared" si="175"/>
        <v>83.333333333333329</v>
      </c>
      <c r="Y232" s="58">
        <f t="shared" si="154"/>
        <v>1.8916121377941079E-4</v>
      </c>
      <c r="Z232" s="4">
        <f t="shared" si="177"/>
        <v>1000</v>
      </c>
      <c r="AA232" s="69">
        <f t="shared" si="155"/>
        <v>1.7866978676171226E-4</v>
      </c>
    </row>
    <row r="233" spans="1:29" ht="15" x14ac:dyDescent="0.35">
      <c r="D233" s="5" t="s">
        <v>155</v>
      </c>
      <c r="E233" s="9"/>
      <c r="F233" s="26"/>
      <c r="G233" s="6">
        <f>SUM(G227:G232)</f>
        <v>64500</v>
      </c>
      <c r="H233" s="6">
        <f>SUM(H227:H232)</f>
        <v>88000</v>
      </c>
      <c r="I233" s="6" t="e">
        <f t="shared" ref="I233:Q233" si="179">SUM(I227:I232)</f>
        <v>#REF!</v>
      </c>
      <c r="J233" s="6" t="e">
        <f t="shared" si="179"/>
        <v>#REF!</v>
      </c>
      <c r="K233" s="6" t="e">
        <f t="shared" si="179"/>
        <v>#REF!</v>
      </c>
      <c r="L233" s="6" t="e">
        <f t="shared" si="179"/>
        <v>#REF!</v>
      </c>
      <c r="M233" s="6" t="e">
        <f t="shared" si="179"/>
        <v>#REF!</v>
      </c>
      <c r="N233" s="6">
        <f t="shared" si="179"/>
        <v>0</v>
      </c>
      <c r="O233" s="6">
        <f t="shared" si="179"/>
        <v>203000</v>
      </c>
      <c r="P233" s="6">
        <f t="shared" si="179"/>
        <v>173000</v>
      </c>
      <c r="Q233" s="6">
        <f t="shared" si="179"/>
        <v>173000</v>
      </c>
      <c r="R233" s="6">
        <f t="shared" ref="R233:W233" si="180">SUM(R227:R232)</f>
        <v>173000</v>
      </c>
      <c r="S233" s="6">
        <f t="shared" si="180"/>
        <v>173000</v>
      </c>
      <c r="T233" s="6">
        <f t="shared" si="180"/>
        <v>173000</v>
      </c>
      <c r="U233" s="6">
        <f t="shared" si="180"/>
        <v>173000</v>
      </c>
      <c r="V233" s="6">
        <f t="shared" si="180"/>
        <v>173000</v>
      </c>
      <c r="W233" s="6">
        <f t="shared" si="180"/>
        <v>173000</v>
      </c>
      <c r="Y233" s="59">
        <f t="shared" si="154"/>
        <v>3.8399726397220391E-2</v>
      </c>
      <c r="Z233" s="6">
        <f>SUBTOTAL(9,Z227:Z232)</f>
        <v>216000</v>
      </c>
      <c r="AA233" s="70">
        <f t="shared" si="155"/>
        <v>3.8592673940529849E-2</v>
      </c>
    </row>
    <row r="234" spans="1:29" ht="15" x14ac:dyDescent="0.35">
      <c r="A234" s="5"/>
      <c r="B234" s="5" t="s">
        <v>39</v>
      </c>
      <c r="C234" s="5"/>
      <c r="D234" s="5"/>
      <c r="E234" s="9"/>
      <c r="F234" s="26"/>
      <c r="G234" s="6">
        <f>G220+G226+G233</f>
        <v>118910.2</v>
      </c>
      <c r="H234" s="6">
        <f>H220+H226+H233</f>
        <v>152901.26</v>
      </c>
      <c r="I234" s="6" t="e">
        <f t="shared" ref="I234:Q234" si="181">I220+I226+I233</f>
        <v>#REF!</v>
      </c>
      <c r="J234" s="6" t="e">
        <f t="shared" si="181"/>
        <v>#REF!</v>
      </c>
      <c r="K234" s="6" t="e">
        <f t="shared" si="181"/>
        <v>#REF!</v>
      </c>
      <c r="L234" s="6" t="e">
        <f t="shared" si="181"/>
        <v>#REF!</v>
      </c>
      <c r="M234" s="6" t="e">
        <f t="shared" si="181"/>
        <v>#REF!</v>
      </c>
      <c r="N234" s="6">
        <f t="shared" si="181"/>
        <v>0</v>
      </c>
      <c r="O234" s="6">
        <f t="shared" si="181"/>
        <v>289980.2</v>
      </c>
      <c r="P234" s="6">
        <f t="shared" si="181"/>
        <v>259499.932</v>
      </c>
      <c r="Q234" s="6">
        <f t="shared" si="181"/>
        <v>260283.42132000002</v>
      </c>
      <c r="R234" s="6">
        <f t="shared" ref="R234:W234" si="182">R220+R226+R233</f>
        <v>261074.74553320001</v>
      </c>
      <c r="S234" s="6">
        <f t="shared" si="182"/>
        <v>261873.98298853199</v>
      </c>
      <c r="T234" s="6">
        <f t="shared" si="182"/>
        <v>262681.21281841735</v>
      </c>
      <c r="U234" s="6">
        <f t="shared" si="182"/>
        <v>263496.51494660147</v>
      </c>
      <c r="V234" s="6">
        <f t="shared" si="182"/>
        <v>264319.97009606753</v>
      </c>
      <c r="W234" s="6">
        <f t="shared" si="182"/>
        <v>265151.65979702817</v>
      </c>
      <c r="Y234" s="59">
        <f t="shared" si="154"/>
        <v>5.48530066039963E-2</v>
      </c>
      <c r="Z234" s="6">
        <f t="shared" ref="Z234" si="183">Z220+Z226+Z233</f>
        <v>318365</v>
      </c>
      <c r="AA234" s="70">
        <f t="shared" si="155"/>
        <v>5.6882206662392527E-2</v>
      </c>
    </row>
    <row r="235" spans="1:29" ht="15" x14ac:dyDescent="0.35">
      <c r="A235" s="5"/>
      <c r="B235" s="5"/>
      <c r="C235" s="5"/>
      <c r="D235" s="5"/>
      <c r="E235" s="9"/>
      <c r="F235" s="26"/>
      <c r="G235" s="35"/>
      <c r="H235" s="6"/>
      <c r="I235" s="6"/>
      <c r="J235" s="6"/>
      <c r="K235" s="6"/>
      <c r="L235" s="6"/>
      <c r="M235" s="14" t="e">
        <f>IF(M234="*","*","")</f>
        <v>#REF!</v>
      </c>
      <c r="P235" s="1"/>
      <c r="Q235" s="1"/>
      <c r="R235" s="1"/>
      <c r="S235" s="1"/>
      <c r="T235" s="1"/>
      <c r="U235" s="1"/>
      <c r="V235" s="1"/>
      <c r="W235" s="1"/>
      <c r="AA235" s="57"/>
    </row>
    <row r="236" spans="1:29" ht="15" x14ac:dyDescent="0.35">
      <c r="A236" s="5"/>
      <c r="B236" s="5" t="s">
        <v>81</v>
      </c>
      <c r="C236" s="5"/>
      <c r="D236" s="5"/>
      <c r="E236" s="9"/>
      <c r="F236" s="27">
        <v>8100</v>
      </c>
      <c r="G236" s="27"/>
      <c r="H236" s="6"/>
      <c r="I236" s="6"/>
      <c r="J236" s="6"/>
      <c r="K236" s="6"/>
      <c r="L236" s="6"/>
      <c r="M236" s="21" t="str">
        <f>IF(M239="*","*","")</f>
        <v/>
      </c>
      <c r="P236" s="1"/>
      <c r="Q236" s="1"/>
      <c r="R236" s="1"/>
      <c r="S236" s="1"/>
      <c r="T236" s="1"/>
      <c r="U236" s="1"/>
      <c r="V236" s="1"/>
      <c r="W236" s="1"/>
      <c r="AA236" s="57"/>
    </row>
    <row r="237" spans="1:29" ht="15" x14ac:dyDescent="0.35">
      <c r="C237" s="5" t="s">
        <v>275</v>
      </c>
      <c r="D237" s="5"/>
      <c r="E237" s="6" t="s">
        <v>216</v>
      </c>
      <c r="F237" s="28">
        <v>8100350</v>
      </c>
      <c r="G237" s="4">
        <v>20000</v>
      </c>
      <c r="H237" s="4">
        <v>10000</v>
      </c>
      <c r="I237" s="6">
        <f t="shared" ref="I237:L238" si="184">+H237*Inf</f>
        <v>10300</v>
      </c>
      <c r="J237" s="6">
        <f t="shared" si="184"/>
        <v>10609</v>
      </c>
      <c r="K237" s="6">
        <f>+J237*Inf+20000</f>
        <v>30927.27</v>
      </c>
      <c r="L237" s="6">
        <f t="shared" si="184"/>
        <v>31855.088100000001</v>
      </c>
      <c r="M237" t="str">
        <f t="shared" si="146"/>
        <v>*</v>
      </c>
      <c r="O237" s="4">
        <v>40000</v>
      </c>
      <c r="P237" s="4">
        <v>30000</v>
      </c>
      <c r="Q237" s="4">
        <v>30000</v>
      </c>
      <c r="R237" s="4">
        <v>30000</v>
      </c>
      <c r="S237" s="4">
        <v>30000</v>
      </c>
      <c r="T237" s="4">
        <v>30000</v>
      </c>
      <c r="U237" s="4">
        <v>30000</v>
      </c>
      <c r="V237" s="4">
        <v>30000</v>
      </c>
      <c r="W237" s="4">
        <v>30000</v>
      </c>
      <c r="X237" s="42">
        <f>O237/12</f>
        <v>3333.3333333333335</v>
      </c>
      <c r="Y237" s="58">
        <f t="shared" si="154"/>
        <v>7.5664485511764317E-3</v>
      </c>
      <c r="Z237" s="4">
        <f>+O237</f>
        <v>40000</v>
      </c>
      <c r="AA237" s="69">
        <f t="shared" si="155"/>
        <v>7.146791470468491E-3</v>
      </c>
    </row>
    <row r="238" spans="1:29" ht="15" hidden="1" x14ac:dyDescent="0.35">
      <c r="A238" s="5"/>
      <c r="B238" s="5"/>
      <c r="C238" t="s">
        <v>13</v>
      </c>
      <c r="D238" s="5"/>
      <c r="E238" s="3" t="s">
        <v>211</v>
      </c>
      <c r="H238" s="10">
        <f>1000*0</f>
        <v>0</v>
      </c>
      <c r="I238" s="10">
        <f t="shared" si="184"/>
        <v>0</v>
      </c>
      <c r="J238" s="10">
        <f t="shared" si="184"/>
        <v>0</v>
      </c>
      <c r="K238" s="10">
        <f t="shared" si="184"/>
        <v>0</v>
      </c>
      <c r="L238" s="10">
        <f t="shared" si="184"/>
        <v>0</v>
      </c>
      <c r="M238" s="14" t="str">
        <f t="shared" si="146"/>
        <v/>
      </c>
      <c r="O238" s="6">
        <v>20000</v>
      </c>
      <c r="X238"/>
      <c r="Y238"/>
      <c r="Z238"/>
    </row>
    <row r="239" spans="1:29" ht="15" x14ac:dyDescent="0.35">
      <c r="A239" s="5"/>
      <c r="B239" s="5" t="s">
        <v>82</v>
      </c>
      <c r="C239" s="5"/>
      <c r="D239" s="5"/>
      <c r="E239" s="9"/>
      <c r="F239" s="26"/>
      <c r="G239" s="6">
        <f t="shared" ref="G239:N239" si="185">SUM(G237:G238)</f>
        <v>20000</v>
      </c>
      <c r="H239" s="6">
        <f>SUM(H237:H238)</f>
        <v>10000</v>
      </c>
      <c r="I239" s="6">
        <f t="shared" si="185"/>
        <v>10300</v>
      </c>
      <c r="J239" s="6">
        <f t="shared" si="185"/>
        <v>10609</v>
      </c>
      <c r="K239" s="6">
        <f t="shared" si="185"/>
        <v>30927.27</v>
      </c>
      <c r="L239" s="6">
        <f t="shared" si="185"/>
        <v>31855.088100000001</v>
      </c>
      <c r="M239" s="6">
        <f t="shared" si="185"/>
        <v>0</v>
      </c>
      <c r="N239" s="6">
        <f t="shared" si="185"/>
        <v>0</v>
      </c>
      <c r="O239" s="6">
        <v>40000</v>
      </c>
      <c r="P239" s="6">
        <f t="shared" ref="P239:Q239" si="186">P237</f>
        <v>30000</v>
      </c>
      <c r="Q239" s="6">
        <f t="shared" si="186"/>
        <v>30000</v>
      </c>
      <c r="R239" s="6">
        <f t="shared" ref="R239:W239" si="187">R237</f>
        <v>30000</v>
      </c>
      <c r="S239" s="6">
        <f t="shared" si="187"/>
        <v>30000</v>
      </c>
      <c r="T239" s="6">
        <f t="shared" si="187"/>
        <v>30000</v>
      </c>
      <c r="U239" s="6">
        <f t="shared" si="187"/>
        <v>30000</v>
      </c>
      <c r="V239" s="6">
        <f t="shared" si="187"/>
        <v>30000</v>
      </c>
      <c r="W239" s="6">
        <f t="shared" si="187"/>
        <v>30000</v>
      </c>
      <c r="Y239" s="59">
        <f t="shared" ref="Y239:Y247" si="188">+O239/$O$17</f>
        <v>7.5664485511764317E-3</v>
      </c>
      <c r="Z239" s="6">
        <f>+Z237</f>
        <v>40000</v>
      </c>
      <c r="AA239" s="70">
        <f t="shared" ref="AA239:AA245" si="189">+Z239/Z$17</f>
        <v>7.146791470468491E-3</v>
      </c>
    </row>
    <row r="240" spans="1:29" ht="15" x14ac:dyDescent="0.35">
      <c r="A240" s="5"/>
      <c r="B240" s="5"/>
      <c r="C240" s="5"/>
      <c r="D240" s="5"/>
      <c r="E240" s="88"/>
      <c r="F240" s="88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Y240" s="59"/>
      <c r="Z240" s="6"/>
      <c r="AA240" s="70"/>
    </row>
    <row r="241" spans="1:30" ht="15" x14ac:dyDescent="0.35">
      <c r="A241" s="5"/>
      <c r="B241" s="5" t="s">
        <v>365</v>
      </c>
      <c r="C241" s="5"/>
      <c r="D241" s="5"/>
      <c r="E241" s="88"/>
      <c r="F241" s="88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Y241" s="59"/>
      <c r="Z241" s="6"/>
      <c r="AA241" s="70"/>
    </row>
    <row r="242" spans="1:30" ht="15" x14ac:dyDescent="0.35">
      <c r="A242" s="5"/>
      <c r="B242" s="5"/>
      <c r="C242" s="5" t="s">
        <v>366</v>
      </c>
      <c r="D242" s="5"/>
      <c r="E242" s="88"/>
      <c r="F242" s="88"/>
      <c r="G242" s="6"/>
      <c r="H242" s="6"/>
      <c r="I242" s="6"/>
      <c r="J242" s="6"/>
      <c r="K242" s="6"/>
      <c r="L242" s="6"/>
      <c r="M242" s="6"/>
      <c r="N242" s="6"/>
      <c r="O242" s="6">
        <v>0</v>
      </c>
      <c r="P242" s="6"/>
      <c r="Q242" s="6"/>
      <c r="R242" s="6"/>
      <c r="S242" s="6"/>
      <c r="T242" s="6"/>
      <c r="U242" s="6"/>
      <c r="V242" s="6"/>
      <c r="W242" s="6"/>
      <c r="Y242" s="59"/>
      <c r="Z242" s="6">
        <v>40000</v>
      </c>
      <c r="AA242" s="70"/>
      <c r="AD242" t="s">
        <v>369</v>
      </c>
    </row>
    <row r="243" spans="1:30" ht="15" x14ac:dyDescent="0.35">
      <c r="A243" s="5"/>
      <c r="B243" s="5" t="s">
        <v>367</v>
      </c>
      <c r="C243" s="5"/>
      <c r="D243" s="5"/>
      <c r="E243" s="88"/>
      <c r="F243" s="88"/>
      <c r="G243" s="6"/>
      <c r="H243" s="6"/>
      <c r="I243" s="6"/>
      <c r="J243" s="6"/>
      <c r="K243" s="6"/>
      <c r="L243" s="6"/>
      <c r="M243" s="6"/>
      <c r="N243" s="6"/>
      <c r="O243" s="6">
        <f>O242</f>
        <v>0</v>
      </c>
      <c r="P243" s="6"/>
      <c r="Q243" s="6"/>
      <c r="R243" s="6"/>
      <c r="S243" s="6"/>
      <c r="T243" s="6"/>
      <c r="U243" s="6"/>
      <c r="V243" s="6"/>
      <c r="W243" s="6"/>
      <c r="Y243" s="59"/>
      <c r="Z243" s="6">
        <f>Z242</f>
        <v>40000</v>
      </c>
      <c r="AA243" s="70"/>
    </row>
    <row r="244" spans="1:30" x14ac:dyDescent="0.2">
      <c r="A244" s="5"/>
      <c r="B244" s="5"/>
      <c r="C244" s="5"/>
      <c r="D244" s="5"/>
      <c r="E244" s="9"/>
      <c r="F244" s="26"/>
      <c r="G244" s="35"/>
      <c r="H244" s="8"/>
      <c r="I244" s="8"/>
      <c r="J244" s="8"/>
      <c r="K244" s="8"/>
      <c r="L244" s="8"/>
      <c r="M244" s="14" t="str">
        <f>IF(M239="*","*","")</f>
        <v/>
      </c>
      <c r="P244" s="1"/>
      <c r="Q244" s="1"/>
      <c r="R244" s="1"/>
      <c r="S244" s="1"/>
      <c r="T244" s="1"/>
      <c r="U244" s="1"/>
      <c r="V244" s="1"/>
      <c r="W244" s="1"/>
      <c r="Y244" s="59"/>
      <c r="AA244" s="57"/>
    </row>
    <row r="245" spans="1:30" ht="15" x14ac:dyDescent="0.35">
      <c r="A245" s="5" t="s">
        <v>40</v>
      </c>
      <c r="B245" s="5"/>
      <c r="C245" s="5"/>
      <c r="D245" s="5"/>
      <c r="E245" s="9"/>
      <c r="F245" s="26"/>
      <c r="G245" s="6">
        <f t="shared" ref="G245:N245" si="190">G57+G105+G130+G153+G159+G172+G191+G234+G239+G196</f>
        <v>2428625.3612000002</v>
      </c>
      <c r="H245" s="6" t="e">
        <f t="shared" si="190"/>
        <v>#REF!</v>
      </c>
      <c r="I245" s="6" t="e">
        <f t="shared" si="190"/>
        <v>#REF!</v>
      </c>
      <c r="J245" s="6" t="e">
        <f t="shared" si="190"/>
        <v>#REF!</v>
      </c>
      <c r="K245" s="6" t="e">
        <f t="shared" si="190"/>
        <v>#REF!</v>
      </c>
      <c r="L245" s="6" t="e">
        <f t="shared" si="190"/>
        <v>#REF!</v>
      </c>
      <c r="M245" s="6" t="e">
        <f t="shared" si="190"/>
        <v>#REF!</v>
      </c>
      <c r="N245" s="6" t="e">
        <f t="shared" si="190"/>
        <v>#REF!</v>
      </c>
      <c r="O245" s="6">
        <f>O57+O105+O130+O153+O159+O172+O191+O196+O208+O234+O239</f>
        <v>5087119.0293999994</v>
      </c>
      <c r="P245" s="6">
        <f t="shared" ref="P245:X245" si="191">P57+P105+P130+P153+P159+P172+P191+P196+P234+P239</f>
        <v>6280137.6085939994</v>
      </c>
      <c r="Q245" s="6">
        <f t="shared" si="191"/>
        <v>5306251.2689299397</v>
      </c>
      <c r="R245" s="6">
        <f t="shared" si="191"/>
        <v>5181960.9858692391</v>
      </c>
      <c r="S245" s="6">
        <f t="shared" si="191"/>
        <v>5264211.7249779319</v>
      </c>
      <c r="T245" s="6">
        <f t="shared" si="191"/>
        <v>5265012.7822277118</v>
      </c>
      <c r="U245" s="6">
        <f t="shared" si="191"/>
        <v>5329646.6642999882</v>
      </c>
      <c r="V245" s="6">
        <f t="shared" si="191"/>
        <v>5393114.6868929891</v>
      </c>
      <c r="W245" s="6">
        <f t="shared" si="191"/>
        <v>5512385.4147119187</v>
      </c>
      <c r="X245" s="6">
        <f t="shared" si="191"/>
        <v>455621.57831666665</v>
      </c>
      <c r="Y245" s="59">
        <f t="shared" si="188"/>
        <v>0.96228561024164194</v>
      </c>
      <c r="Z245" s="6">
        <f>Z57+Z105+Z130+Z153+Z159+Z172+Z191+Z196+Z208+Z234+Z239+Z243</f>
        <v>5362070.7663629632</v>
      </c>
      <c r="AA245" s="57">
        <f t="shared" si="189"/>
        <v>0.95804004042728175</v>
      </c>
    </row>
    <row r="246" spans="1:30" x14ac:dyDescent="0.2">
      <c r="M246" s="21" t="s">
        <v>207</v>
      </c>
      <c r="P246" s="1"/>
      <c r="Q246" s="1"/>
      <c r="R246" s="1"/>
      <c r="S246" s="1"/>
      <c r="T246" s="1"/>
      <c r="U246" s="1"/>
      <c r="V246" s="1"/>
      <c r="W246" s="1"/>
      <c r="Y246" s="59"/>
      <c r="Z246"/>
      <c r="AA246" s="57"/>
    </row>
    <row r="247" spans="1:30" s="5" customFormat="1" ht="15" x14ac:dyDescent="0.35">
      <c r="A247" s="5" t="s">
        <v>83</v>
      </c>
      <c r="E247" s="9"/>
      <c r="F247" s="26"/>
      <c r="G247" s="6">
        <f t="shared" ref="G247:X247" si="192">+G17-G245</f>
        <v>33576.638799999841</v>
      </c>
      <c r="H247" s="6" t="e">
        <f t="shared" si="192"/>
        <v>#REF!</v>
      </c>
      <c r="I247" s="6" t="e">
        <f t="shared" si="192"/>
        <v>#REF!</v>
      </c>
      <c r="J247" s="6" t="e">
        <f t="shared" si="192"/>
        <v>#REF!</v>
      </c>
      <c r="K247" s="6" t="e">
        <f t="shared" si="192"/>
        <v>#REF!</v>
      </c>
      <c r="L247" s="6" t="e">
        <f t="shared" si="192"/>
        <v>#REF!</v>
      </c>
      <c r="M247" s="6" t="e">
        <f t="shared" si="192"/>
        <v>#REF!</v>
      </c>
      <c r="N247" s="6" t="e">
        <f t="shared" si="192"/>
        <v>#REF!</v>
      </c>
      <c r="O247" s="6">
        <f t="shared" si="192"/>
        <v>199376.97060000058</v>
      </c>
      <c r="P247" s="6">
        <f t="shared" si="192"/>
        <v>-1328631.6085939994</v>
      </c>
      <c r="Q247" s="6">
        <f t="shared" si="192"/>
        <v>-310658.26892993972</v>
      </c>
      <c r="R247" s="6">
        <f t="shared" si="192"/>
        <v>-161367.98586923908</v>
      </c>
      <c r="S247" s="6">
        <f t="shared" si="192"/>
        <v>-239951.72497793194</v>
      </c>
      <c r="T247" s="6">
        <f t="shared" si="192"/>
        <v>-265752.78222771175</v>
      </c>
      <c r="U247" s="6">
        <f t="shared" si="192"/>
        <v>-203250.30897003878</v>
      </c>
      <c r="V247" s="6">
        <f t="shared" si="192"/>
        <v>-266718.33156303968</v>
      </c>
      <c r="W247" s="6">
        <f t="shared" si="192"/>
        <v>-258873.70405201986</v>
      </c>
      <c r="X247" s="6">
        <f t="shared" si="192"/>
        <v>-15080.244983333279</v>
      </c>
      <c r="Y247" s="59">
        <f t="shared" si="188"/>
        <v>3.7714389758358009E-2</v>
      </c>
      <c r="Z247" s="6">
        <f>+Z17-Z245</f>
        <v>234846.41882222239</v>
      </c>
      <c r="AA247" s="6">
        <f t="shared" ref="AA247:AC247" si="193">+AA17-AA245</f>
        <v>3.7314545116913678E-2</v>
      </c>
      <c r="AB247" s="6">
        <f t="shared" si="193"/>
        <v>0</v>
      </c>
      <c r="AC247" s="6">
        <f t="shared" si="193"/>
        <v>0</v>
      </c>
    </row>
    <row r="248" spans="1:30" x14ac:dyDescent="0.2">
      <c r="M248" t="s">
        <v>207</v>
      </c>
      <c r="P248" s="1"/>
      <c r="Q248" s="1"/>
      <c r="R248" s="1"/>
      <c r="S248" s="1"/>
      <c r="T248" s="1"/>
      <c r="U248" s="1"/>
      <c r="V248" s="1"/>
      <c r="W248" s="1"/>
      <c r="Z248"/>
      <c r="AA248" s="57"/>
    </row>
    <row r="249" spans="1:30" ht="15" hidden="1" x14ac:dyDescent="0.35">
      <c r="A249" s="5" t="s">
        <v>285</v>
      </c>
      <c r="G249" s="39">
        <v>0</v>
      </c>
      <c r="H249" s="6">
        <v>12000</v>
      </c>
      <c r="I249" s="7" t="e">
        <f t="shared" ref="I249:N249" si="194">+I247</f>
        <v>#REF!</v>
      </c>
      <c r="J249" s="7" t="e">
        <f t="shared" si="194"/>
        <v>#REF!</v>
      </c>
      <c r="K249" s="7" t="e">
        <f t="shared" si="194"/>
        <v>#REF!</v>
      </c>
      <c r="L249" s="7" t="e">
        <f t="shared" si="194"/>
        <v>#REF!</v>
      </c>
      <c r="M249" s="7" t="e">
        <f t="shared" si="194"/>
        <v>#REF!</v>
      </c>
      <c r="N249" s="7" t="e">
        <f t="shared" si="194"/>
        <v>#REF!</v>
      </c>
      <c r="O249" s="6" t="e">
        <f>H251</f>
        <v>#REF!</v>
      </c>
      <c r="P249" s="6" t="e">
        <f>O251</f>
        <v>#REF!</v>
      </c>
      <c r="Q249" s="6" t="e">
        <f>P251</f>
        <v>#REF!</v>
      </c>
      <c r="R249" s="6" t="e">
        <f t="shared" ref="R249:W249" si="195">Q251</f>
        <v>#REF!</v>
      </c>
      <c r="S249" s="6" t="e">
        <f t="shared" si="195"/>
        <v>#REF!</v>
      </c>
      <c r="T249" s="6" t="e">
        <f t="shared" si="195"/>
        <v>#REF!</v>
      </c>
      <c r="U249" s="6" t="e">
        <f t="shared" si="195"/>
        <v>#REF!</v>
      </c>
      <c r="V249" s="6" t="e">
        <f t="shared" si="195"/>
        <v>#REF!</v>
      </c>
      <c r="W249" s="6" t="e">
        <f t="shared" si="195"/>
        <v>#REF!</v>
      </c>
      <c r="X249"/>
      <c r="Y249"/>
      <c r="Z249" s="55">
        <v>445459.54000000004</v>
      </c>
    </row>
    <row r="250" spans="1:30" hidden="1" x14ac:dyDescent="0.2">
      <c r="X250"/>
      <c r="Y250"/>
      <c r="Z250"/>
    </row>
    <row r="251" spans="1:30" ht="15" hidden="1" x14ac:dyDescent="0.35">
      <c r="A251" s="5" t="s">
        <v>104</v>
      </c>
      <c r="G251" s="38">
        <f>G247+G249</f>
        <v>33576.638799999841</v>
      </c>
      <c r="H251" s="38" t="e">
        <f>H247+H249</f>
        <v>#REF!</v>
      </c>
      <c r="O251" s="38" t="e">
        <f t="shared" ref="O251:Q251" si="196">O247+O249</f>
        <v>#REF!</v>
      </c>
      <c r="P251" s="38" t="e">
        <f t="shared" si="196"/>
        <v>#REF!</v>
      </c>
      <c r="Q251" s="38" t="e">
        <f t="shared" si="196"/>
        <v>#REF!</v>
      </c>
      <c r="R251" s="38" t="e">
        <f t="shared" ref="R251:W251" si="197">R247+R249</f>
        <v>#REF!</v>
      </c>
      <c r="S251" s="38" t="e">
        <f t="shared" si="197"/>
        <v>#REF!</v>
      </c>
      <c r="T251" s="38" t="e">
        <f t="shared" si="197"/>
        <v>#REF!</v>
      </c>
      <c r="U251" s="38" t="e">
        <f t="shared" si="197"/>
        <v>#REF!</v>
      </c>
      <c r="V251" s="38" t="e">
        <f t="shared" si="197"/>
        <v>#REF!</v>
      </c>
      <c r="W251" s="38" t="e">
        <f t="shared" si="197"/>
        <v>#REF!</v>
      </c>
      <c r="X251"/>
      <c r="Y251"/>
      <c r="Z251"/>
    </row>
    <row r="252" spans="1:30" x14ac:dyDescent="0.2">
      <c r="A252" s="54"/>
      <c r="B252" s="54"/>
      <c r="C252" s="54" t="s">
        <v>11</v>
      </c>
      <c r="D252" s="54"/>
      <c r="O252" s="55">
        <f>+O45+O120+O169+O170</f>
        <v>445459.54000000004</v>
      </c>
      <c r="Y252" s="57">
        <f>+O252/O17</f>
        <v>8.4263667276018001E-2</v>
      </c>
      <c r="Z252" s="55">
        <f>+Z45+Z120+Z169+Z170</f>
        <v>474539.60296296299</v>
      </c>
      <c r="AA252" s="55">
        <f t="shared" ref="AA252:AC252" si="198">+AA45+AA120+AA169+AA170</f>
        <v>8.4785889671380205E-2</v>
      </c>
      <c r="AB252" s="55">
        <f t="shared" si="198"/>
        <v>0</v>
      </c>
      <c r="AC252" s="55">
        <f t="shared" si="198"/>
        <v>0</v>
      </c>
      <c r="AD252" s="91">
        <v>9.3999999999999997E-4</v>
      </c>
    </row>
  </sheetData>
  <autoFilter ref="M1:M249">
    <filterColumn colId="0">
      <filters>
        <filter val="*"/>
      </filters>
    </filterColumn>
  </autoFilter>
  <mergeCells count="3">
    <mergeCell ref="A1:AB1"/>
    <mergeCell ref="A2:AB2"/>
    <mergeCell ref="A3:AB3"/>
  </mergeCells>
  <phoneticPr fontId="0" type="noConversion"/>
  <printOptions horizontalCentered="1"/>
  <pageMargins left="0" right="0" top="0.5" bottom="0.5" header="0" footer="0"/>
  <pageSetup scale="86" fitToHeight="10" orientation="portrait" r:id="rId1"/>
  <headerFooter alignWithMargins="0"/>
  <rowBreaks count="2" manualBreakCount="2">
    <brk id="116" max="28" man="1"/>
    <brk id="193" max="2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E20" activeCellId="1" sqref="E9 E20"/>
    </sheetView>
  </sheetViews>
  <sheetFormatPr defaultColWidth="8.7109375" defaultRowHeight="12.75" x14ac:dyDescent="0.2"/>
  <cols>
    <col min="2" max="2" width="28.28515625" customWidth="1"/>
    <col min="3" max="3" width="12" customWidth="1"/>
    <col min="4" max="4" width="18" customWidth="1"/>
    <col min="5" max="5" width="17" customWidth="1"/>
  </cols>
  <sheetData>
    <row r="1" spans="1:5" ht="15.75" x14ac:dyDescent="0.25">
      <c r="A1" s="79" t="s">
        <v>276</v>
      </c>
      <c r="B1" s="79"/>
      <c r="C1" s="79"/>
      <c r="D1" s="79"/>
      <c r="E1" s="79"/>
    </row>
    <row r="2" spans="1:5" ht="15.75" x14ac:dyDescent="0.25">
      <c r="A2" s="79" t="s">
        <v>331</v>
      </c>
      <c r="B2" s="79"/>
      <c r="C2" s="79"/>
      <c r="D2" s="79"/>
      <c r="E2" s="79"/>
    </row>
    <row r="3" spans="1:5" ht="15.75" x14ac:dyDescent="0.25">
      <c r="A3" s="79" t="s">
        <v>368</v>
      </c>
      <c r="B3" s="79"/>
      <c r="C3" s="79"/>
      <c r="D3" s="79"/>
      <c r="E3" s="79"/>
    </row>
    <row r="4" spans="1:5" ht="30" x14ac:dyDescent="0.2">
      <c r="A4" s="80" t="s">
        <v>332</v>
      </c>
      <c r="B4" s="80" t="s">
        <v>333</v>
      </c>
      <c r="C4" s="81" t="s">
        <v>334</v>
      </c>
      <c r="D4" s="80" t="s">
        <v>335</v>
      </c>
      <c r="E4" s="80" t="s">
        <v>336</v>
      </c>
    </row>
    <row r="5" spans="1:5" ht="15" x14ac:dyDescent="0.2">
      <c r="A5" s="80"/>
      <c r="B5" s="80"/>
      <c r="C5" s="81"/>
      <c r="D5" s="80"/>
      <c r="E5" s="80"/>
    </row>
    <row r="6" spans="1:5" ht="15" x14ac:dyDescent="0.2">
      <c r="A6" s="82" t="s">
        <v>337</v>
      </c>
      <c r="B6" s="82" t="s">
        <v>338</v>
      </c>
      <c r="C6" s="80">
        <v>39051</v>
      </c>
      <c r="D6" s="80">
        <v>38</v>
      </c>
      <c r="E6" s="80">
        <f>C6*D6</f>
        <v>1483938</v>
      </c>
    </row>
    <row r="7" spans="1:5" ht="15" x14ac:dyDescent="0.2">
      <c r="A7" s="82"/>
      <c r="B7" s="82" t="s">
        <v>339</v>
      </c>
      <c r="C7" s="80">
        <v>45000</v>
      </c>
      <c r="D7" s="80">
        <v>1</v>
      </c>
      <c r="E7" s="80">
        <f>C7*D7</f>
        <v>45000</v>
      </c>
    </row>
    <row r="8" spans="1:5" ht="17.25" x14ac:dyDescent="0.35">
      <c r="A8" s="82"/>
      <c r="B8" s="82" t="s">
        <v>340</v>
      </c>
      <c r="C8" s="80">
        <v>0</v>
      </c>
      <c r="D8" s="83">
        <v>0</v>
      </c>
      <c r="E8" s="83">
        <f>C8*D8</f>
        <v>0</v>
      </c>
    </row>
    <row r="9" spans="1:5" ht="15.75" x14ac:dyDescent="0.25">
      <c r="A9" s="84" t="s">
        <v>341</v>
      </c>
      <c r="B9" s="84"/>
      <c r="C9" s="85"/>
      <c r="D9" s="85">
        <f>SUM(D6:D8)</f>
        <v>39</v>
      </c>
      <c r="E9" s="85">
        <f>SUM(E6:E8)</f>
        <v>1528938</v>
      </c>
    </row>
    <row r="10" spans="1:5" ht="15" x14ac:dyDescent="0.2">
      <c r="A10" s="82"/>
      <c r="B10" s="82"/>
      <c r="C10" s="80"/>
      <c r="D10" s="80"/>
      <c r="E10" s="80"/>
    </row>
    <row r="11" spans="1:5" ht="15" x14ac:dyDescent="0.2">
      <c r="A11" s="82" t="s">
        <v>337</v>
      </c>
      <c r="B11" s="82" t="s">
        <v>342</v>
      </c>
      <c r="C11" s="80">
        <v>38000</v>
      </c>
      <c r="D11" s="80">
        <v>2</v>
      </c>
      <c r="E11" s="80">
        <f t="shared" ref="E11:E19" si="0">C11*D11</f>
        <v>76000</v>
      </c>
    </row>
    <row r="12" spans="1:5" ht="15" x14ac:dyDescent="0.2">
      <c r="A12" s="82"/>
      <c r="B12" s="82" t="s">
        <v>343</v>
      </c>
      <c r="C12" s="80">
        <v>39083</v>
      </c>
      <c r="D12" s="80">
        <v>3</v>
      </c>
      <c r="E12" s="80">
        <f t="shared" si="0"/>
        <v>117249</v>
      </c>
    </row>
    <row r="13" spans="1:5" ht="15" x14ac:dyDescent="0.2">
      <c r="A13" s="82"/>
      <c r="B13" s="82" t="s">
        <v>344</v>
      </c>
      <c r="C13" s="80">
        <v>38625</v>
      </c>
      <c r="D13" s="80">
        <v>2</v>
      </c>
      <c r="E13" s="80">
        <f t="shared" si="0"/>
        <v>77250</v>
      </c>
    </row>
    <row r="14" spans="1:5" ht="15" x14ac:dyDescent="0.2">
      <c r="A14" s="82"/>
      <c r="B14" s="82" t="s">
        <v>345</v>
      </c>
      <c r="C14" s="80">
        <v>34830</v>
      </c>
      <c r="D14" s="80">
        <v>3</v>
      </c>
      <c r="E14" s="80">
        <f t="shared" si="0"/>
        <v>104490</v>
      </c>
    </row>
    <row r="15" spans="1:5" ht="15" x14ac:dyDescent="0.2">
      <c r="A15" s="82"/>
      <c r="B15" s="82" t="s">
        <v>346</v>
      </c>
      <c r="C15" s="80">
        <v>38452</v>
      </c>
      <c r="D15" s="80">
        <v>2</v>
      </c>
      <c r="E15" s="80">
        <f t="shared" si="0"/>
        <v>76904</v>
      </c>
    </row>
    <row r="16" spans="1:5" ht="15" x14ac:dyDescent="0.2">
      <c r="A16" s="82"/>
      <c r="B16" s="82" t="s">
        <v>347</v>
      </c>
      <c r="C16" s="80">
        <v>39000</v>
      </c>
      <c r="D16" s="80">
        <v>1</v>
      </c>
      <c r="E16" s="80">
        <f t="shared" si="0"/>
        <v>39000</v>
      </c>
    </row>
    <row r="17" spans="1:5" ht="15" x14ac:dyDescent="0.2">
      <c r="A17" s="82"/>
      <c r="B17" s="82" t="s">
        <v>348</v>
      </c>
      <c r="C17" s="80">
        <v>39452</v>
      </c>
      <c r="D17" s="80">
        <v>2</v>
      </c>
      <c r="E17" s="80">
        <f t="shared" si="0"/>
        <v>78904</v>
      </c>
    </row>
    <row r="18" spans="1:5" ht="15" x14ac:dyDescent="0.2">
      <c r="A18" s="82"/>
      <c r="B18" s="82" t="s">
        <v>349</v>
      </c>
      <c r="C18" s="80">
        <v>39229</v>
      </c>
      <c r="D18" s="80">
        <v>2</v>
      </c>
      <c r="E18" s="80">
        <f t="shared" si="0"/>
        <v>78458</v>
      </c>
    </row>
    <row r="19" spans="1:5" ht="17.25" x14ac:dyDescent="0.35">
      <c r="A19" s="82" t="s">
        <v>337</v>
      </c>
      <c r="B19" s="82" t="s">
        <v>350</v>
      </c>
      <c r="C19" s="80">
        <v>28000</v>
      </c>
      <c r="D19" s="83">
        <v>2</v>
      </c>
      <c r="E19" s="83">
        <f t="shared" si="0"/>
        <v>56000</v>
      </c>
    </row>
    <row r="20" spans="1:5" ht="15.75" x14ac:dyDescent="0.25">
      <c r="A20" s="84" t="s">
        <v>351</v>
      </c>
      <c r="B20" s="82"/>
      <c r="C20" s="80"/>
      <c r="D20" s="85">
        <f>SUM(D11:D19)</f>
        <v>19</v>
      </c>
      <c r="E20" s="85">
        <f>SUM(E11:E19)</f>
        <v>704255</v>
      </c>
    </row>
    <row r="21" spans="1:5" ht="15.75" x14ac:dyDescent="0.25">
      <c r="A21" s="84"/>
      <c r="B21" s="82"/>
      <c r="C21" s="80"/>
      <c r="D21" s="85"/>
      <c r="E21" s="85"/>
    </row>
    <row r="22" spans="1:5" ht="15" x14ac:dyDescent="0.2">
      <c r="A22" s="82" t="s">
        <v>337</v>
      </c>
      <c r="B22" s="82" t="s">
        <v>352</v>
      </c>
      <c r="C22" s="80">
        <v>100000</v>
      </c>
      <c r="D22" s="80">
        <v>1</v>
      </c>
      <c r="E22" s="80">
        <f t="shared" ref="E22:E24" si="1">C22*D22</f>
        <v>100000</v>
      </c>
    </row>
    <row r="23" spans="1:5" ht="15" x14ac:dyDescent="0.2">
      <c r="A23" s="82"/>
      <c r="B23" s="82" t="s">
        <v>353</v>
      </c>
      <c r="C23" s="80">
        <v>58000</v>
      </c>
      <c r="D23" s="80">
        <v>1</v>
      </c>
      <c r="E23" s="80">
        <f t="shared" si="1"/>
        <v>58000</v>
      </c>
    </row>
    <row r="24" spans="1:5" ht="17.25" x14ac:dyDescent="0.35">
      <c r="A24" s="82"/>
      <c r="B24" s="82" t="s">
        <v>354</v>
      </c>
      <c r="C24" s="80">
        <v>48000</v>
      </c>
      <c r="D24" s="83">
        <v>1</v>
      </c>
      <c r="E24" s="83">
        <f t="shared" si="1"/>
        <v>48000</v>
      </c>
    </row>
    <row r="25" spans="1:5" ht="15.75" x14ac:dyDescent="0.25">
      <c r="A25" s="84" t="s">
        <v>355</v>
      </c>
      <c r="B25" s="84"/>
      <c r="C25" s="85"/>
      <c r="D25" s="85">
        <f>SUM(D22:D24)</f>
        <v>3</v>
      </c>
      <c r="E25" s="85">
        <f>SUM(E22:E24)</f>
        <v>206000</v>
      </c>
    </row>
    <row r="26" spans="1:5" ht="15" x14ac:dyDescent="0.2">
      <c r="A26" s="82"/>
      <c r="B26" s="82"/>
      <c r="C26" s="80"/>
      <c r="D26" s="80"/>
      <c r="E26" s="80"/>
    </row>
    <row r="27" spans="1:5" ht="15" x14ac:dyDescent="0.2">
      <c r="A27" s="82" t="s">
        <v>337</v>
      </c>
      <c r="B27" s="82" t="s">
        <v>356</v>
      </c>
      <c r="C27" s="80">
        <v>39750</v>
      </c>
      <c r="D27" s="80">
        <v>2</v>
      </c>
      <c r="E27" s="80">
        <f t="shared" ref="E27:E33" si="2">C27*D27</f>
        <v>79500</v>
      </c>
    </row>
    <row r="28" spans="1:5" ht="15" x14ac:dyDescent="0.2">
      <c r="A28" s="82"/>
      <c r="B28" s="82" t="s">
        <v>357</v>
      </c>
      <c r="C28" s="80">
        <v>32000</v>
      </c>
      <c r="D28" s="80">
        <v>1</v>
      </c>
      <c r="E28" s="80">
        <f t="shared" si="2"/>
        <v>32000</v>
      </c>
    </row>
    <row r="29" spans="1:5" ht="15" x14ac:dyDescent="0.2">
      <c r="A29" s="82" t="s">
        <v>337</v>
      </c>
      <c r="B29" s="82" t="s">
        <v>358</v>
      </c>
      <c r="C29" s="80">
        <v>17000</v>
      </c>
      <c r="D29" s="80">
        <v>2</v>
      </c>
      <c r="E29" s="80">
        <f t="shared" si="2"/>
        <v>34000</v>
      </c>
    </row>
    <row r="30" spans="1:5" ht="15" x14ac:dyDescent="0.2">
      <c r="A30" s="82" t="s">
        <v>337</v>
      </c>
      <c r="B30" s="82" t="s">
        <v>359</v>
      </c>
      <c r="C30" s="80">
        <v>40000</v>
      </c>
      <c r="D30" s="80">
        <v>1</v>
      </c>
      <c r="E30" s="80">
        <f t="shared" si="2"/>
        <v>40000</v>
      </c>
    </row>
    <row r="31" spans="1:5" ht="15" x14ac:dyDescent="0.2">
      <c r="A31" s="82" t="s">
        <v>337</v>
      </c>
      <c r="B31" s="82" t="s">
        <v>360</v>
      </c>
      <c r="C31" s="80">
        <v>24000</v>
      </c>
      <c r="D31" s="80">
        <v>1</v>
      </c>
      <c r="E31" s="80">
        <f t="shared" si="2"/>
        <v>24000</v>
      </c>
    </row>
    <row r="32" spans="1:5" ht="15" x14ac:dyDescent="0.2">
      <c r="A32" s="82"/>
      <c r="B32" s="82" t="s">
        <v>361</v>
      </c>
      <c r="C32" s="80">
        <v>6000</v>
      </c>
      <c r="D32" s="80">
        <v>4</v>
      </c>
      <c r="E32" s="80">
        <f t="shared" si="2"/>
        <v>24000</v>
      </c>
    </row>
    <row r="33" spans="1:5" ht="17.25" x14ac:dyDescent="0.35">
      <c r="A33" s="82" t="s">
        <v>337</v>
      </c>
      <c r="B33" s="82" t="s">
        <v>249</v>
      </c>
      <c r="C33" s="80">
        <v>20000</v>
      </c>
      <c r="D33" s="83">
        <v>4</v>
      </c>
      <c r="E33" s="83">
        <f t="shared" si="2"/>
        <v>80000</v>
      </c>
    </row>
    <row r="34" spans="1:5" ht="20.25" x14ac:dyDescent="0.55000000000000004">
      <c r="A34" s="84" t="s">
        <v>362</v>
      </c>
      <c r="B34" s="84"/>
      <c r="C34" s="85"/>
      <c r="D34" s="86">
        <f>SUM(D27:D33)</f>
        <v>15</v>
      </c>
      <c r="E34" s="86">
        <f>SUM(E27:E33)</f>
        <v>313500</v>
      </c>
    </row>
    <row r="35" spans="1:5" ht="15" x14ac:dyDescent="0.2">
      <c r="A35" s="82"/>
      <c r="B35" s="82"/>
      <c r="C35" s="80"/>
      <c r="D35" s="80"/>
      <c r="E35" s="80"/>
    </row>
    <row r="36" spans="1:5" ht="15" x14ac:dyDescent="0.2">
      <c r="A36" s="82"/>
      <c r="B36" s="82"/>
      <c r="C36" s="80"/>
      <c r="D36" s="80"/>
      <c r="E36" s="80"/>
    </row>
    <row r="37" spans="1:5" ht="18" x14ac:dyDescent="0.4">
      <c r="A37" s="84" t="s">
        <v>90</v>
      </c>
      <c r="B37" s="84"/>
      <c r="C37" s="85"/>
      <c r="D37" s="87">
        <f>+D9+D20+D25+D34</f>
        <v>76</v>
      </c>
      <c r="E37" s="87">
        <f>+E9+E20+E25+E34</f>
        <v>2752693</v>
      </c>
    </row>
    <row r="38" spans="1:5" ht="15" x14ac:dyDescent="0.2">
      <c r="A38" s="82"/>
      <c r="B38" s="82"/>
      <c r="C38" s="82"/>
      <c r="D38" s="82"/>
      <c r="E38" s="82"/>
    </row>
    <row r="39" spans="1:5" ht="15" x14ac:dyDescent="0.2">
      <c r="A39" s="82"/>
      <c r="B39" s="82"/>
      <c r="C39" s="82"/>
      <c r="D39" s="82"/>
      <c r="E39" s="82"/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6"/>
  <sheetViews>
    <sheetView topLeftCell="A123" zoomScale="90" zoomScaleNormal="90" zoomScalePageLayoutView="131" workbookViewId="0">
      <selection activeCell="I145" sqref="I145"/>
    </sheetView>
  </sheetViews>
  <sheetFormatPr defaultColWidth="8.7109375" defaultRowHeight="12.75" x14ac:dyDescent="0.2"/>
  <cols>
    <col min="1" max="3" width="2.7109375" customWidth="1"/>
    <col min="4" max="4" width="36" customWidth="1"/>
    <col min="5" max="5" width="15" style="1" customWidth="1"/>
    <col min="6" max="17" width="11.7109375" style="77" customWidth="1"/>
  </cols>
  <sheetData>
    <row r="1" spans="1:17" x14ac:dyDescent="0.2">
      <c r="A1" s="94" t="s">
        <v>276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1:17" x14ac:dyDescent="0.2">
      <c r="A2" s="94" t="s">
        <v>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</row>
    <row r="3" spans="1:17" x14ac:dyDescent="0.2">
      <c r="A3" s="94" t="s">
        <v>310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</row>
    <row r="4" spans="1:17" x14ac:dyDescent="0.2">
      <c r="A4" s="66"/>
      <c r="B4" s="66"/>
      <c r="C4" s="66"/>
      <c r="D4" s="66"/>
    </row>
    <row r="5" spans="1:17" x14ac:dyDescent="0.2">
      <c r="A5" s="66"/>
      <c r="B5" s="66"/>
      <c r="C5" s="66"/>
      <c r="D5" s="66"/>
      <c r="E5" s="8" t="s">
        <v>311</v>
      </c>
    </row>
    <row r="6" spans="1:17" x14ac:dyDescent="0.2">
      <c r="A6" s="66"/>
      <c r="B6" s="66"/>
      <c r="C6" s="66"/>
      <c r="D6" s="66"/>
      <c r="E6" s="68" t="s">
        <v>277</v>
      </c>
      <c r="F6" s="78" t="s">
        <v>317</v>
      </c>
      <c r="G6" s="78" t="s">
        <v>318</v>
      </c>
      <c r="H6" s="78" t="s">
        <v>319</v>
      </c>
      <c r="I6" s="78" t="s">
        <v>320</v>
      </c>
      <c r="J6" s="78" t="s">
        <v>321</v>
      </c>
      <c r="K6" s="78" t="s">
        <v>322</v>
      </c>
      <c r="L6" s="78" t="s">
        <v>323</v>
      </c>
      <c r="M6" s="78" t="s">
        <v>324</v>
      </c>
      <c r="N6" s="78" t="s">
        <v>325</v>
      </c>
      <c r="O6" s="78" t="s">
        <v>326</v>
      </c>
      <c r="P6" s="78" t="s">
        <v>183</v>
      </c>
      <c r="Q6" s="78" t="s">
        <v>327</v>
      </c>
    </row>
    <row r="7" spans="1:17" x14ac:dyDescent="0.2">
      <c r="A7" s="5" t="s">
        <v>60</v>
      </c>
      <c r="E7" s="1">
        <v>820</v>
      </c>
    </row>
    <row r="9" spans="1:17" x14ac:dyDescent="0.2">
      <c r="A9" s="5" t="s">
        <v>1</v>
      </c>
    </row>
    <row r="10" spans="1:17" x14ac:dyDescent="0.2">
      <c r="B10" s="5" t="s">
        <v>286</v>
      </c>
      <c r="C10" s="5"/>
      <c r="D10" s="5"/>
      <c r="E10" s="1">
        <f>+Annual!Z10</f>
        <v>5020137.1851851856</v>
      </c>
      <c r="F10" s="1">
        <f>+$E$10/12</f>
        <v>418344.76543209882</v>
      </c>
      <c r="G10" s="1">
        <f t="shared" ref="G10:Q10" si="0">+$E$10/12</f>
        <v>418344.76543209882</v>
      </c>
      <c r="H10" s="1">
        <f t="shared" si="0"/>
        <v>418344.76543209882</v>
      </c>
      <c r="I10" s="1">
        <f t="shared" si="0"/>
        <v>418344.76543209882</v>
      </c>
      <c r="J10" s="1">
        <f t="shared" si="0"/>
        <v>418344.76543209882</v>
      </c>
      <c r="K10" s="1">
        <f t="shared" si="0"/>
        <v>418344.76543209882</v>
      </c>
      <c r="L10" s="1">
        <f t="shared" si="0"/>
        <v>418344.76543209882</v>
      </c>
      <c r="M10" s="1">
        <f t="shared" si="0"/>
        <v>418344.76543209882</v>
      </c>
      <c r="N10" s="1">
        <f t="shared" si="0"/>
        <v>418344.76543209882</v>
      </c>
      <c r="O10" s="1">
        <f t="shared" si="0"/>
        <v>418344.76543209882</v>
      </c>
      <c r="P10" s="1">
        <f t="shared" si="0"/>
        <v>418344.76543209882</v>
      </c>
      <c r="Q10" s="1">
        <f t="shared" si="0"/>
        <v>418344.76543209882</v>
      </c>
    </row>
    <row r="11" spans="1:17" x14ac:dyDescent="0.2">
      <c r="A11" s="36"/>
      <c r="B11" t="s">
        <v>308</v>
      </c>
      <c r="E11" s="1">
        <f>+Annual!Z11</f>
        <v>26000</v>
      </c>
      <c r="F11" s="1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  <c r="O11" s="1">
        <f>+E11</f>
        <v>26000</v>
      </c>
      <c r="P11" s="77">
        <v>0</v>
      </c>
      <c r="Q11" s="77">
        <v>0</v>
      </c>
    </row>
    <row r="12" spans="1:17" x14ac:dyDescent="0.2">
      <c r="B12" t="s">
        <v>88</v>
      </c>
      <c r="E12" s="1">
        <f>+Annual!Z13</f>
        <v>377200</v>
      </c>
      <c r="F12" s="1">
        <f>+$E$12/12</f>
        <v>31433.333333333332</v>
      </c>
      <c r="G12" s="1">
        <f t="shared" ref="G12:Q12" si="1">+$E$12/12</f>
        <v>31433.333333333332</v>
      </c>
      <c r="H12" s="1">
        <f t="shared" si="1"/>
        <v>31433.333333333332</v>
      </c>
      <c r="I12" s="1">
        <f t="shared" si="1"/>
        <v>31433.333333333332</v>
      </c>
      <c r="J12" s="1">
        <f t="shared" si="1"/>
        <v>31433.333333333332</v>
      </c>
      <c r="K12" s="1">
        <f t="shared" si="1"/>
        <v>31433.333333333332</v>
      </c>
      <c r="L12" s="1">
        <f t="shared" si="1"/>
        <v>31433.333333333332</v>
      </c>
      <c r="M12" s="1">
        <f t="shared" si="1"/>
        <v>31433.333333333332</v>
      </c>
      <c r="N12" s="1">
        <f t="shared" si="1"/>
        <v>31433.333333333332</v>
      </c>
      <c r="O12" s="1">
        <f t="shared" si="1"/>
        <v>31433.333333333332</v>
      </c>
      <c r="P12" s="1">
        <f t="shared" si="1"/>
        <v>31433.333333333332</v>
      </c>
      <c r="Q12" s="1">
        <f t="shared" si="1"/>
        <v>31433.333333333332</v>
      </c>
    </row>
    <row r="13" spans="1:17" x14ac:dyDescent="0.2">
      <c r="B13" s="36" t="str">
        <f>+Annual!B15</f>
        <v>CTE/Erate Funds</v>
      </c>
      <c r="E13" s="1">
        <f>+Annual!Z15</f>
        <v>90000</v>
      </c>
      <c r="F13" s="1">
        <f>+$E$13/12</f>
        <v>7500</v>
      </c>
      <c r="G13" s="1">
        <f t="shared" ref="G13:Q13" si="2">+$E$13/12</f>
        <v>7500</v>
      </c>
      <c r="H13" s="1">
        <f t="shared" si="2"/>
        <v>7500</v>
      </c>
      <c r="I13" s="1">
        <f t="shared" si="2"/>
        <v>7500</v>
      </c>
      <c r="J13" s="1">
        <f t="shared" si="2"/>
        <v>7500</v>
      </c>
      <c r="K13" s="1">
        <f t="shared" si="2"/>
        <v>7500</v>
      </c>
      <c r="L13" s="1">
        <f t="shared" si="2"/>
        <v>7500</v>
      </c>
      <c r="M13" s="1">
        <f t="shared" si="2"/>
        <v>7500</v>
      </c>
      <c r="N13" s="1">
        <f t="shared" si="2"/>
        <v>7500</v>
      </c>
      <c r="O13" s="1">
        <f t="shared" si="2"/>
        <v>7500</v>
      </c>
      <c r="P13" s="1">
        <f t="shared" si="2"/>
        <v>7500</v>
      </c>
      <c r="Q13" s="1">
        <f t="shared" si="2"/>
        <v>7500</v>
      </c>
    </row>
    <row r="14" spans="1:17" ht="15" x14ac:dyDescent="0.35">
      <c r="B14" s="29" t="s">
        <v>265</v>
      </c>
      <c r="E14" s="4">
        <f>+Annual!Z16</f>
        <v>83580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f>+E14</f>
        <v>83580</v>
      </c>
      <c r="P14" s="4">
        <v>0</v>
      </c>
      <c r="Q14" s="4">
        <v>0</v>
      </c>
    </row>
    <row r="15" spans="1:17" s="5" customFormat="1" x14ac:dyDescent="0.2">
      <c r="A15" s="5" t="s">
        <v>49</v>
      </c>
      <c r="E15" s="8">
        <f>SUBTOTAL(9,E10:E14)</f>
        <v>5596917.1851851856</v>
      </c>
      <c r="F15" s="8">
        <f>SUM(F10:F14)</f>
        <v>457278.09876543214</v>
      </c>
      <c r="G15" s="8">
        <f t="shared" ref="G15:Q15" si="3">SUM(G10:G14)</f>
        <v>457278.09876543214</v>
      </c>
      <c r="H15" s="8">
        <f t="shared" si="3"/>
        <v>457278.09876543214</v>
      </c>
      <c r="I15" s="8">
        <f t="shared" si="3"/>
        <v>457278.09876543214</v>
      </c>
      <c r="J15" s="8">
        <f t="shared" si="3"/>
        <v>457278.09876543214</v>
      </c>
      <c r="K15" s="8">
        <f t="shared" si="3"/>
        <v>457278.09876543214</v>
      </c>
      <c r="L15" s="8">
        <f t="shared" si="3"/>
        <v>457278.09876543214</v>
      </c>
      <c r="M15" s="8">
        <f t="shared" si="3"/>
        <v>457278.09876543214</v>
      </c>
      <c r="N15" s="8">
        <f t="shared" si="3"/>
        <v>457278.09876543214</v>
      </c>
      <c r="O15" s="8">
        <f t="shared" si="3"/>
        <v>566858.09876543214</v>
      </c>
      <c r="P15" s="8">
        <f t="shared" si="3"/>
        <v>457278.09876543214</v>
      </c>
      <c r="Q15" s="8">
        <f t="shared" si="3"/>
        <v>457278.09876543214</v>
      </c>
    </row>
    <row r="16" spans="1:17" x14ac:dyDescent="0.2">
      <c r="E16"/>
      <c r="F16"/>
    </row>
    <row r="17" spans="1:17" x14ac:dyDescent="0.2">
      <c r="A17" s="5" t="s">
        <v>4</v>
      </c>
      <c r="E17"/>
      <c r="F17"/>
    </row>
    <row r="18" spans="1:17" x14ac:dyDescent="0.2">
      <c r="B18" s="5" t="s">
        <v>5</v>
      </c>
      <c r="F18" s="1"/>
    </row>
    <row r="19" spans="1:17" x14ac:dyDescent="0.2">
      <c r="B19" s="5"/>
      <c r="C19" s="36" t="s">
        <v>282</v>
      </c>
      <c r="D19" s="5"/>
      <c r="E19" s="1">
        <f>+Annual!Z34</f>
        <v>1528938</v>
      </c>
      <c r="F19" s="1">
        <f>+$E$19/12</f>
        <v>127411.5</v>
      </c>
      <c r="G19" s="1">
        <f t="shared" ref="G19:Q19" si="4">+$E$19/12</f>
        <v>127411.5</v>
      </c>
      <c r="H19" s="1">
        <f t="shared" si="4"/>
        <v>127411.5</v>
      </c>
      <c r="I19" s="1">
        <f t="shared" si="4"/>
        <v>127411.5</v>
      </c>
      <c r="J19" s="1">
        <f t="shared" si="4"/>
        <v>127411.5</v>
      </c>
      <c r="K19" s="1">
        <f t="shared" si="4"/>
        <v>127411.5</v>
      </c>
      <c r="L19" s="1">
        <f t="shared" si="4"/>
        <v>127411.5</v>
      </c>
      <c r="M19" s="1">
        <f t="shared" si="4"/>
        <v>127411.5</v>
      </c>
      <c r="N19" s="1">
        <f t="shared" si="4"/>
        <v>127411.5</v>
      </c>
      <c r="O19" s="1">
        <f t="shared" si="4"/>
        <v>127411.5</v>
      </c>
      <c r="P19" s="1">
        <f t="shared" si="4"/>
        <v>127411.5</v>
      </c>
      <c r="Q19" s="1">
        <f t="shared" si="4"/>
        <v>127411.5</v>
      </c>
    </row>
    <row r="20" spans="1:17" x14ac:dyDescent="0.2">
      <c r="C20" s="32" t="s">
        <v>228</v>
      </c>
      <c r="E20" s="1">
        <f>+Annual!Z36</f>
        <v>572255</v>
      </c>
      <c r="F20" s="1">
        <f>+$E$20/12</f>
        <v>47687.916666666664</v>
      </c>
      <c r="G20" s="1">
        <f t="shared" ref="G20:Q20" si="5">+$E$20/12</f>
        <v>47687.916666666664</v>
      </c>
      <c r="H20" s="1">
        <f t="shared" si="5"/>
        <v>47687.916666666664</v>
      </c>
      <c r="I20" s="1">
        <f t="shared" si="5"/>
        <v>47687.916666666664</v>
      </c>
      <c r="J20" s="1">
        <f t="shared" si="5"/>
        <v>47687.916666666664</v>
      </c>
      <c r="K20" s="1">
        <f t="shared" si="5"/>
        <v>47687.916666666664</v>
      </c>
      <c r="L20" s="1">
        <f t="shared" si="5"/>
        <v>47687.916666666664</v>
      </c>
      <c r="M20" s="1">
        <f t="shared" si="5"/>
        <v>47687.916666666664</v>
      </c>
      <c r="N20" s="1">
        <f t="shared" si="5"/>
        <v>47687.916666666664</v>
      </c>
      <c r="O20" s="1">
        <f t="shared" si="5"/>
        <v>47687.916666666664</v>
      </c>
      <c r="P20" s="1">
        <f t="shared" si="5"/>
        <v>47687.916666666664</v>
      </c>
      <c r="Q20" s="1">
        <f t="shared" si="5"/>
        <v>47687.916666666664</v>
      </c>
    </row>
    <row r="21" spans="1:17" ht="15" x14ac:dyDescent="0.35">
      <c r="C21" s="36" t="s">
        <v>281</v>
      </c>
      <c r="E21" s="4">
        <f>+Annual!Z37</f>
        <v>56000</v>
      </c>
      <c r="F21" s="4">
        <f>+$E$21/12</f>
        <v>4666.666666666667</v>
      </c>
      <c r="G21" s="4">
        <f t="shared" ref="G21:Q21" si="6">+$E$21/12</f>
        <v>4666.666666666667</v>
      </c>
      <c r="H21" s="4">
        <f t="shared" si="6"/>
        <v>4666.666666666667</v>
      </c>
      <c r="I21" s="4">
        <f t="shared" si="6"/>
        <v>4666.666666666667</v>
      </c>
      <c r="J21" s="4">
        <f t="shared" si="6"/>
        <v>4666.666666666667</v>
      </c>
      <c r="K21" s="4">
        <f t="shared" si="6"/>
        <v>4666.666666666667</v>
      </c>
      <c r="L21" s="4">
        <f t="shared" si="6"/>
        <v>4666.666666666667</v>
      </c>
      <c r="M21" s="4">
        <f t="shared" si="6"/>
        <v>4666.666666666667</v>
      </c>
      <c r="N21" s="4">
        <f t="shared" si="6"/>
        <v>4666.666666666667</v>
      </c>
      <c r="O21" s="4">
        <f t="shared" si="6"/>
        <v>4666.666666666667</v>
      </c>
      <c r="P21" s="4">
        <f t="shared" si="6"/>
        <v>4666.666666666667</v>
      </c>
      <c r="Q21" s="4">
        <f t="shared" si="6"/>
        <v>4666.666666666667</v>
      </c>
    </row>
    <row r="22" spans="1:17" ht="15" x14ac:dyDescent="0.35">
      <c r="D22" s="5" t="s">
        <v>41</v>
      </c>
      <c r="E22" s="6">
        <f>SUBTOTAL(9,E19:E21)</f>
        <v>2157193</v>
      </c>
      <c r="F22" s="6">
        <f>SUM(F19:F21)</f>
        <v>179766.08333333331</v>
      </c>
      <c r="G22" s="6">
        <f t="shared" ref="G22:Q22" si="7">SUM(G19:G21)</f>
        <v>179766.08333333331</v>
      </c>
      <c r="H22" s="6">
        <f t="shared" si="7"/>
        <v>179766.08333333331</v>
      </c>
      <c r="I22" s="6">
        <f t="shared" si="7"/>
        <v>179766.08333333331</v>
      </c>
      <c r="J22" s="6">
        <f t="shared" si="7"/>
        <v>179766.08333333331</v>
      </c>
      <c r="K22" s="6">
        <f t="shared" si="7"/>
        <v>179766.08333333331</v>
      </c>
      <c r="L22" s="6">
        <f t="shared" si="7"/>
        <v>179766.08333333331</v>
      </c>
      <c r="M22" s="6">
        <f t="shared" si="7"/>
        <v>179766.08333333331</v>
      </c>
      <c r="N22" s="6">
        <f t="shared" si="7"/>
        <v>179766.08333333331</v>
      </c>
      <c r="O22" s="6">
        <f t="shared" si="7"/>
        <v>179766.08333333331</v>
      </c>
      <c r="P22" s="6">
        <f t="shared" si="7"/>
        <v>179766.08333333331</v>
      </c>
      <c r="Q22" s="6">
        <f t="shared" si="7"/>
        <v>179766.08333333331</v>
      </c>
    </row>
    <row r="23" spans="1:17" x14ac:dyDescent="0.2">
      <c r="C23" t="s">
        <v>7</v>
      </c>
      <c r="E23" s="1">
        <f>+Annual!Z39</f>
        <v>27500</v>
      </c>
      <c r="F23" s="1">
        <f>+$E$23/12</f>
        <v>2291.6666666666665</v>
      </c>
      <c r="G23" s="1">
        <f t="shared" ref="G23:Q23" si="8">+$E$23/12</f>
        <v>2291.6666666666665</v>
      </c>
      <c r="H23" s="1">
        <f t="shared" si="8"/>
        <v>2291.6666666666665</v>
      </c>
      <c r="I23" s="1">
        <f t="shared" si="8"/>
        <v>2291.6666666666665</v>
      </c>
      <c r="J23" s="1">
        <f t="shared" si="8"/>
        <v>2291.6666666666665</v>
      </c>
      <c r="K23" s="1">
        <f t="shared" si="8"/>
        <v>2291.6666666666665</v>
      </c>
      <c r="L23" s="1">
        <f t="shared" si="8"/>
        <v>2291.6666666666665</v>
      </c>
      <c r="M23" s="1">
        <f t="shared" si="8"/>
        <v>2291.6666666666665</v>
      </c>
      <c r="N23" s="1">
        <f t="shared" si="8"/>
        <v>2291.6666666666665</v>
      </c>
      <c r="O23" s="1">
        <f t="shared" si="8"/>
        <v>2291.6666666666665</v>
      </c>
      <c r="P23" s="1">
        <f t="shared" si="8"/>
        <v>2291.6666666666665</v>
      </c>
      <c r="Q23" s="1">
        <f t="shared" si="8"/>
        <v>2291.6666666666665</v>
      </c>
    </row>
    <row r="24" spans="1:17" x14ac:dyDescent="0.2">
      <c r="C24" t="s">
        <v>8</v>
      </c>
      <c r="E24" s="1">
        <f>+Annual!Z40</f>
        <v>165025.26449999999</v>
      </c>
      <c r="F24" s="1">
        <f>+$E$24/12</f>
        <v>13752.105374999999</v>
      </c>
      <c r="G24" s="1">
        <f t="shared" ref="G24:Q24" si="9">+$E$24/12</f>
        <v>13752.105374999999</v>
      </c>
      <c r="H24" s="1">
        <f t="shared" si="9"/>
        <v>13752.105374999999</v>
      </c>
      <c r="I24" s="1">
        <f t="shared" si="9"/>
        <v>13752.105374999999</v>
      </c>
      <c r="J24" s="1">
        <f t="shared" si="9"/>
        <v>13752.105374999999</v>
      </c>
      <c r="K24" s="1">
        <f t="shared" si="9"/>
        <v>13752.105374999999</v>
      </c>
      <c r="L24" s="1">
        <f t="shared" si="9"/>
        <v>13752.105374999999</v>
      </c>
      <c r="M24" s="1">
        <f t="shared" si="9"/>
        <v>13752.105374999999</v>
      </c>
      <c r="N24" s="1">
        <f t="shared" si="9"/>
        <v>13752.105374999999</v>
      </c>
      <c r="O24" s="1">
        <f t="shared" si="9"/>
        <v>13752.105374999999</v>
      </c>
      <c r="P24" s="1">
        <f t="shared" si="9"/>
        <v>13752.105374999999</v>
      </c>
      <c r="Q24" s="1">
        <f t="shared" si="9"/>
        <v>13752.105374999999</v>
      </c>
    </row>
    <row r="25" spans="1:17" ht="12.75" customHeight="1" x14ac:dyDescent="0.2">
      <c r="C25" t="s">
        <v>9</v>
      </c>
      <c r="E25" s="1">
        <f>+Annual!Z41</f>
        <v>176000</v>
      </c>
      <c r="F25" s="1">
        <f>+$E$25*0.08</f>
        <v>14080</v>
      </c>
      <c r="G25" s="1">
        <f t="shared" ref="G25:H25" si="10">+$E$25*0.08</f>
        <v>14080</v>
      </c>
      <c r="H25" s="1">
        <f t="shared" si="10"/>
        <v>14080</v>
      </c>
      <c r="I25" s="1">
        <f>+$E$25*0.0845-9.8</f>
        <v>14862.200000000003</v>
      </c>
      <c r="J25" s="1">
        <f t="shared" ref="J25:Q25" si="11">+$E$25*0.0845-9.8</f>
        <v>14862.200000000003</v>
      </c>
      <c r="K25" s="1">
        <f t="shared" si="11"/>
        <v>14862.200000000003</v>
      </c>
      <c r="L25" s="1">
        <f t="shared" si="11"/>
        <v>14862.200000000003</v>
      </c>
      <c r="M25" s="1">
        <f t="shared" si="11"/>
        <v>14862.200000000003</v>
      </c>
      <c r="N25" s="1">
        <f t="shared" si="11"/>
        <v>14862.200000000003</v>
      </c>
      <c r="O25" s="1">
        <f t="shared" si="11"/>
        <v>14862.200000000003</v>
      </c>
      <c r="P25" s="1">
        <f t="shared" si="11"/>
        <v>14862.200000000003</v>
      </c>
      <c r="Q25" s="1">
        <f t="shared" si="11"/>
        <v>14862.200000000003</v>
      </c>
    </row>
    <row r="26" spans="1:17" x14ac:dyDescent="0.2">
      <c r="C26" t="s">
        <v>10</v>
      </c>
      <c r="E26" s="1">
        <f>+Annual!Z42</f>
        <v>11783.6613</v>
      </c>
      <c r="F26" s="1">
        <f>+$E$26/12</f>
        <v>981.97177499999998</v>
      </c>
      <c r="G26" s="1">
        <f t="shared" ref="G26:Q26" si="12">+$E$26/12</f>
        <v>981.97177499999998</v>
      </c>
      <c r="H26" s="1">
        <f t="shared" si="12"/>
        <v>981.97177499999998</v>
      </c>
      <c r="I26" s="1">
        <f t="shared" si="12"/>
        <v>981.97177499999998</v>
      </c>
      <c r="J26" s="1">
        <f t="shared" si="12"/>
        <v>981.97177499999998</v>
      </c>
      <c r="K26" s="1">
        <f t="shared" si="12"/>
        <v>981.97177499999998</v>
      </c>
      <c r="L26" s="1">
        <f t="shared" si="12"/>
        <v>981.97177499999998</v>
      </c>
      <c r="M26" s="1">
        <f t="shared" si="12"/>
        <v>981.97177499999998</v>
      </c>
      <c r="N26" s="1">
        <f t="shared" si="12"/>
        <v>981.97177499999998</v>
      </c>
      <c r="O26" s="1">
        <f t="shared" si="12"/>
        <v>981.97177499999998</v>
      </c>
      <c r="P26" s="1">
        <f t="shared" si="12"/>
        <v>981.97177499999998</v>
      </c>
      <c r="Q26" s="1">
        <f t="shared" si="12"/>
        <v>981.97177499999998</v>
      </c>
    </row>
    <row r="27" spans="1:17" ht="15" x14ac:dyDescent="0.35">
      <c r="C27" s="29" t="s">
        <v>269</v>
      </c>
      <c r="E27" s="4">
        <f>+Annual!Z43</f>
        <v>2940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f>+E27*0.6</f>
        <v>1764</v>
      </c>
      <c r="M27" s="4">
        <f>+E27*0.4</f>
        <v>1176</v>
      </c>
      <c r="N27" s="4">
        <v>0</v>
      </c>
      <c r="O27" s="4">
        <v>0</v>
      </c>
      <c r="P27" s="4">
        <v>0</v>
      </c>
      <c r="Q27" s="4">
        <v>0</v>
      </c>
    </row>
    <row r="28" spans="1:17" ht="15" x14ac:dyDescent="0.35">
      <c r="D28" s="5" t="s">
        <v>42</v>
      </c>
      <c r="E28" s="6">
        <f>SUBTOTAL(9,E23:E27)</f>
        <v>383248.92579999997</v>
      </c>
      <c r="F28" s="6">
        <f>SUM(F23:F27)</f>
        <v>31105.743816666662</v>
      </c>
      <c r="G28" s="6">
        <f t="shared" ref="G28:Q28" si="13">SUM(G23:G27)</f>
        <v>31105.743816666662</v>
      </c>
      <c r="H28" s="6">
        <f t="shared" si="13"/>
        <v>31105.743816666662</v>
      </c>
      <c r="I28" s="6">
        <f t="shared" si="13"/>
        <v>31887.943816666666</v>
      </c>
      <c r="J28" s="6">
        <f t="shared" si="13"/>
        <v>31887.943816666666</v>
      </c>
      <c r="K28" s="6">
        <f t="shared" si="13"/>
        <v>31887.943816666666</v>
      </c>
      <c r="L28" s="6">
        <f t="shared" si="13"/>
        <v>33651.943816666666</v>
      </c>
      <c r="M28" s="6">
        <f t="shared" si="13"/>
        <v>33063.943816666666</v>
      </c>
      <c r="N28" s="6">
        <f t="shared" si="13"/>
        <v>31887.943816666666</v>
      </c>
      <c r="O28" s="6">
        <f t="shared" si="13"/>
        <v>31887.943816666666</v>
      </c>
      <c r="P28" s="6">
        <f t="shared" si="13"/>
        <v>31887.943816666666</v>
      </c>
      <c r="Q28" s="6">
        <f t="shared" si="13"/>
        <v>31887.943816666666</v>
      </c>
    </row>
    <row r="29" spans="1:17" s="48" customFormat="1" x14ac:dyDescent="0.2">
      <c r="A29" s="49"/>
      <c r="B29" s="49"/>
      <c r="C29" s="49" t="s">
        <v>11</v>
      </c>
      <c r="D29" s="49"/>
      <c r="E29" s="53">
        <f>+Annual!Z45</f>
        <v>150604.11555555556</v>
      </c>
      <c r="F29" s="75">
        <f>+$E$29/12</f>
        <v>12550.342962962963</v>
      </c>
      <c r="G29" s="75">
        <f t="shared" ref="G29:Q29" si="14">+$E$29/12</f>
        <v>12550.342962962963</v>
      </c>
      <c r="H29" s="75">
        <f t="shared" si="14"/>
        <v>12550.342962962963</v>
      </c>
      <c r="I29" s="75">
        <f t="shared" si="14"/>
        <v>12550.342962962963</v>
      </c>
      <c r="J29" s="75">
        <f t="shared" si="14"/>
        <v>12550.342962962963</v>
      </c>
      <c r="K29" s="75">
        <f t="shared" si="14"/>
        <v>12550.342962962963</v>
      </c>
      <c r="L29" s="75">
        <f t="shared" si="14"/>
        <v>12550.342962962963</v>
      </c>
      <c r="M29" s="75">
        <f t="shared" si="14"/>
        <v>12550.342962962963</v>
      </c>
      <c r="N29" s="75">
        <f t="shared" si="14"/>
        <v>12550.342962962963</v>
      </c>
      <c r="O29" s="75">
        <f t="shared" si="14"/>
        <v>12550.342962962963</v>
      </c>
      <c r="P29" s="75">
        <f t="shared" si="14"/>
        <v>12550.342962962963</v>
      </c>
      <c r="Q29" s="75">
        <f t="shared" si="14"/>
        <v>12550.342962962963</v>
      </c>
    </row>
    <row r="30" spans="1:17" x14ac:dyDescent="0.2">
      <c r="C30" t="s">
        <v>12</v>
      </c>
      <c r="E30" s="75">
        <f>+Annual!Z46</f>
        <v>2500</v>
      </c>
      <c r="F30" s="75">
        <f>+$E$30/12</f>
        <v>208.33333333333334</v>
      </c>
      <c r="G30" s="75">
        <f t="shared" ref="G30:Q30" si="15">+$E$30/12</f>
        <v>208.33333333333334</v>
      </c>
      <c r="H30" s="75">
        <f t="shared" si="15"/>
        <v>208.33333333333334</v>
      </c>
      <c r="I30" s="75">
        <f t="shared" si="15"/>
        <v>208.33333333333334</v>
      </c>
      <c r="J30" s="75">
        <f t="shared" si="15"/>
        <v>208.33333333333334</v>
      </c>
      <c r="K30" s="75">
        <f t="shared" si="15"/>
        <v>208.33333333333334</v>
      </c>
      <c r="L30" s="75">
        <f t="shared" si="15"/>
        <v>208.33333333333334</v>
      </c>
      <c r="M30" s="75">
        <f t="shared" si="15"/>
        <v>208.33333333333334</v>
      </c>
      <c r="N30" s="75">
        <f t="shared" si="15"/>
        <v>208.33333333333334</v>
      </c>
      <c r="O30" s="75">
        <f t="shared" si="15"/>
        <v>208.33333333333334</v>
      </c>
      <c r="P30" s="75">
        <f t="shared" si="15"/>
        <v>208.33333333333334</v>
      </c>
      <c r="Q30" s="75">
        <f t="shared" si="15"/>
        <v>208.33333333333334</v>
      </c>
    </row>
    <row r="31" spans="1:17" x14ac:dyDescent="0.2">
      <c r="C31" s="29" t="s">
        <v>260</v>
      </c>
      <c r="E31" s="75">
        <f>+Annual!Z47</f>
        <v>25000</v>
      </c>
      <c r="F31" s="75">
        <f>+$E$31/12</f>
        <v>2083.3333333333335</v>
      </c>
      <c r="G31" s="75">
        <f t="shared" ref="G31:Q31" si="16">+$E$31/12</f>
        <v>2083.3333333333335</v>
      </c>
      <c r="H31" s="75">
        <f t="shared" si="16"/>
        <v>2083.3333333333335</v>
      </c>
      <c r="I31" s="75">
        <f t="shared" si="16"/>
        <v>2083.3333333333335</v>
      </c>
      <c r="J31" s="75">
        <f t="shared" si="16"/>
        <v>2083.3333333333335</v>
      </c>
      <c r="K31" s="75">
        <f t="shared" si="16"/>
        <v>2083.3333333333335</v>
      </c>
      <c r="L31" s="75">
        <f t="shared" si="16"/>
        <v>2083.3333333333335</v>
      </c>
      <c r="M31" s="75">
        <f t="shared" si="16"/>
        <v>2083.3333333333335</v>
      </c>
      <c r="N31" s="75">
        <f t="shared" si="16"/>
        <v>2083.3333333333335</v>
      </c>
      <c r="O31" s="75">
        <f t="shared" si="16"/>
        <v>2083.3333333333335</v>
      </c>
      <c r="P31" s="75">
        <f t="shared" si="16"/>
        <v>2083.3333333333335</v>
      </c>
      <c r="Q31" s="75">
        <f t="shared" si="16"/>
        <v>2083.3333333333335</v>
      </c>
    </row>
    <row r="32" spans="1:17" x14ac:dyDescent="0.2">
      <c r="C32" s="36" t="s">
        <v>290</v>
      </c>
      <c r="E32" s="75">
        <f>+Annual!Z48</f>
        <v>35000</v>
      </c>
      <c r="F32" s="75">
        <f>+$E$32/12</f>
        <v>2916.6666666666665</v>
      </c>
      <c r="G32" s="75">
        <f t="shared" ref="G32:Q32" si="17">+$E$32/12</f>
        <v>2916.6666666666665</v>
      </c>
      <c r="H32" s="75">
        <f t="shared" si="17"/>
        <v>2916.6666666666665</v>
      </c>
      <c r="I32" s="75">
        <f t="shared" si="17"/>
        <v>2916.6666666666665</v>
      </c>
      <c r="J32" s="75">
        <f t="shared" si="17"/>
        <v>2916.6666666666665</v>
      </c>
      <c r="K32" s="75">
        <f t="shared" si="17"/>
        <v>2916.6666666666665</v>
      </c>
      <c r="L32" s="75">
        <f t="shared" si="17"/>
        <v>2916.6666666666665</v>
      </c>
      <c r="M32" s="75">
        <f t="shared" si="17"/>
        <v>2916.6666666666665</v>
      </c>
      <c r="N32" s="75">
        <f t="shared" si="17"/>
        <v>2916.6666666666665</v>
      </c>
      <c r="O32" s="75">
        <f t="shared" si="17"/>
        <v>2916.6666666666665</v>
      </c>
      <c r="P32" s="75">
        <f t="shared" si="17"/>
        <v>2916.6666666666665</v>
      </c>
      <c r="Q32" s="75">
        <f t="shared" si="17"/>
        <v>2916.6666666666665</v>
      </c>
    </row>
    <row r="33" spans="2:18" x14ac:dyDescent="0.2">
      <c r="C33" t="s">
        <v>247</v>
      </c>
      <c r="E33" s="75">
        <f>+Annual!Z49</f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75">
        <v>0</v>
      </c>
      <c r="P33" s="75">
        <v>0</v>
      </c>
      <c r="Q33" s="75">
        <v>0</v>
      </c>
    </row>
    <row r="34" spans="2:18" x14ac:dyDescent="0.2">
      <c r="C34" t="s">
        <v>14</v>
      </c>
      <c r="E34" s="75">
        <f>+Annual!Z50</f>
        <v>15000</v>
      </c>
      <c r="F34" s="75">
        <f>+E34/2</f>
        <v>7500</v>
      </c>
      <c r="G34" s="75">
        <f>+E34/2</f>
        <v>7500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5">
        <v>0</v>
      </c>
      <c r="P34" s="75">
        <v>0</v>
      </c>
      <c r="Q34" s="75">
        <v>0</v>
      </c>
    </row>
    <row r="35" spans="2:18" x14ac:dyDescent="0.2">
      <c r="C35" t="s">
        <v>248</v>
      </c>
      <c r="E35" s="75">
        <f>+Annual!Z51</f>
        <v>150000</v>
      </c>
      <c r="F35" s="75">
        <v>12500</v>
      </c>
      <c r="G35" s="75">
        <v>12500</v>
      </c>
      <c r="H35" s="75">
        <v>12500</v>
      </c>
      <c r="I35" s="75">
        <v>12500</v>
      </c>
      <c r="J35" s="75">
        <v>12500</v>
      </c>
      <c r="K35" s="75">
        <v>12500</v>
      </c>
      <c r="L35" s="75">
        <v>12500</v>
      </c>
      <c r="M35" s="75">
        <v>12500</v>
      </c>
      <c r="N35" s="75">
        <v>12500</v>
      </c>
      <c r="O35" s="75">
        <v>12500</v>
      </c>
      <c r="P35" s="75">
        <v>12500</v>
      </c>
      <c r="Q35" s="75">
        <v>12500</v>
      </c>
    </row>
    <row r="36" spans="2:18" x14ac:dyDescent="0.2">
      <c r="C36" t="s">
        <v>193</v>
      </c>
      <c r="E36" s="75">
        <f>+Annual!Z52</f>
        <v>10000</v>
      </c>
      <c r="F36" s="75">
        <f t="shared" ref="F36:F37" si="18">+E36/2</f>
        <v>5000</v>
      </c>
      <c r="G36" s="75">
        <f t="shared" ref="G36:G37" si="19">+E36/2</f>
        <v>5000</v>
      </c>
      <c r="H36" s="75">
        <v>0</v>
      </c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75">
        <v>0</v>
      </c>
      <c r="P36" s="75">
        <v>0</v>
      </c>
      <c r="Q36" s="75">
        <v>0</v>
      </c>
    </row>
    <row r="37" spans="2:18" x14ac:dyDescent="0.2">
      <c r="C37" t="s">
        <v>252</v>
      </c>
      <c r="E37" s="75">
        <f>+Annual!Z53</f>
        <v>5000</v>
      </c>
      <c r="F37" s="75">
        <f t="shared" si="18"/>
        <v>2500</v>
      </c>
      <c r="G37" s="75">
        <f t="shared" si="19"/>
        <v>2500</v>
      </c>
      <c r="H37" s="75">
        <v>0</v>
      </c>
      <c r="I37" s="75">
        <v>0</v>
      </c>
      <c r="J37" s="75">
        <v>0</v>
      </c>
      <c r="K37" s="75">
        <v>0</v>
      </c>
      <c r="L37" s="75">
        <v>0</v>
      </c>
      <c r="M37" s="75">
        <v>0</v>
      </c>
      <c r="N37" s="75">
        <v>0</v>
      </c>
      <c r="O37" s="75">
        <v>0</v>
      </c>
      <c r="P37" s="75">
        <v>0</v>
      </c>
      <c r="Q37" s="75">
        <v>0</v>
      </c>
    </row>
    <row r="38" spans="2:18" x14ac:dyDescent="0.2">
      <c r="C38" t="s">
        <v>16</v>
      </c>
      <c r="E38" s="75">
        <f>+Annual!Z54</f>
        <v>35000</v>
      </c>
      <c r="F38" s="75">
        <v>8750</v>
      </c>
      <c r="G38" s="75"/>
      <c r="H38" s="75">
        <v>0</v>
      </c>
      <c r="I38" s="75">
        <v>8750</v>
      </c>
      <c r="J38" s="75">
        <v>0</v>
      </c>
      <c r="K38" s="75">
        <v>0</v>
      </c>
      <c r="L38" s="75">
        <v>8750</v>
      </c>
      <c r="M38" s="75">
        <v>0</v>
      </c>
      <c r="N38" s="75">
        <v>0</v>
      </c>
      <c r="O38" s="75">
        <v>8750</v>
      </c>
      <c r="P38" s="75">
        <v>0</v>
      </c>
      <c r="Q38" s="75">
        <v>0</v>
      </c>
    </row>
    <row r="39" spans="2:18" ht="15" x14ac:dyDescent="0.35">
      <c r="C39" t="s">
        <v>17</v>
      </c>
      <c r="E39" s="76">
        <f>+Annual!Z55</f>
        <v>60000</v>
      </c>
      <c r="F39" s="76">
        <v>0</v>
      </c>
      <c r="G39" s="76">
        <v>0</v>
      </c>
      <c r="H39" s="76">
        <f>+$E$39/9</f>
        <v>6666.666666666667</v>
      </c>
      <c r="I39" s="76">
        <f t="shared" ref="I39:P39" si="20">+$E$39/9</f>
        <v>6666.666666666667</v>
      </c>
      <c r="J39" s="76">
        <f t="shared" si="20"/>
        <v>6666.666666666667</v>
      </c>
      <c r="K39" s="76">
        <f t="shared" si="20"/>
        <v>6666.666666666667</v>
      </c>
      <c r="L39" s="76">
        <f t="shared" si="20"/>
        <v>6666.666666666667</v>
      </c>
      <c r="M39" s="76">
        <f t="shared" si="20"/>
        <v>6666.666666666667</v>
      </c>
      <c r="N39" s="76">
        <f t="shared" si="20"/>
        <v>6666.666666666667</v>
      </c>
      <c r="O39" s="76">
        <f t="shared" si="20"/>
        <v>6666.666666666667</v>
      </c>
      <c r="P39" s="76">
        <f t="shared" si="20"/>
        <v>6666.666666666667</v>
      </c>
      <c r="Q39" s="76">
        <v>0</v>
      </c>
    </row>
    <row r="40" spans="2:18" ht="15" x14ac:dyDescent="0.35">
      <c r="D40" s="5" t="s">
        <v>43</v>
      </c>
      <c r="E40" s="6">
        <f>SUBTOTAL(9,E29:E39)</f>
        <v>488104.11555555556</v>
      </c>
      <c r="F40" s="6">
        <f>SUBTOTAL(9,F29:F39)</f>
        <v>54008.676296296297</v>
      </c>
      <c r="G40" s="6">
        <f t="shared" ref="G40:Q40" si="21">SUBTOTAL(9,G29:G39)</f>
        <v>45258.676296296297</v>
      </c>
      <c r="H40" s="6">
        <f t="shared" si="21"/>
        <v>36925.342962962961</v>
      </c>
      <c r="I40" s="6">
        <f t="shared" si="21"/>
        <v>45675.342962962961</v>
      </c>
      <c r="J40" s="6">
        <f t="shared" si="21"/>
        <v>36925.342962962961</v>
      </c>
      <c r="K40" s="6">
        <f t="shared" si="21"/>
        <v>36925.342962962961</v>
      </c>
      <c r="L40" s="6">
        <f t="shared" si="21"/>
        <v>45675.342962962961</v>
      </c>
      <c r="M40" s="6">
        <f t="shared" si="21"/>
        <v>36925.342962962961</v>
      </c>
      <c r="N40" s="6">
        <f t="shared" si="21"/>
        <v>36925.342962962961</v>
      </c>
      <c r="O40" s="6">
        <f t="shared" si="21"/>
        <v>45675.342962962961</v>
      </c>
      <c r="P40" s="6">
        <f t="shared" si="21"/>
        <v>36925.342962962961</v>
      </c>
      <c r="Q40" s="6">
        <f t="shared" si="21"/>
        <v>30258.676296296297</v>
      </c>
    </row>
    <row r="41" spans="2:18" x14ac:dyDescent="0.2">
      <c r="B41" s="5" t="s">
        <v>18</v>
      </c>
      <c r="C41" s="5"/>
      <c r="D41" s="5"/>
      <c r="E41" s="8">
        <f t="shared" ref="E41:F41" si="22">SUM(E40,E28,E22)</f>
        <v>3028546.0413555554</v>
      </c>
      <c r="F41" s="8">
        <f t="shared" si="22"/>
        <v>264880.50344629626</v>
      </c>
      <c r="G41" s="8">
        <f t="shared" ref="G41:Q41" si="23">SUM(G40,G28,G22)</f>
        <v>256130.50344629626</v>
      </c>
      <c r="H41" s="8">
        <f t="shared" si="23"/>
        <v>247797.17011296295</v>
      </c>
      <c r="I41" s="8">
        <f t="shared" si="23"/>
        <v>257329.37011296293</v>
      </c>
      <c r="J41" s="8">
        <f t="shared" si="23"/>
        <v>248579.37011296293</v>
      </c>
      <c r="K41" s="8">
        <f t="shared" si="23"/>
        <v>248579.37011296293</v>
      </c>
      <c r="L41" s="8">
        <f t="shared" si="23"/>
        <v>259093.37011296293</v>
      </c>
      <c r="M41" s="8">
        <f t="shared" si="23"/>
        <v>249755.37011296293</v>
      </c>
      <c r="N41" s="8">
        <f t="shared" si="23"/>
        <v>248579.37011296293</v>
      </c>
      <c r="O41" s="8">
        <f t="shared" si="23"/>
        <v>257329.37011296293</v>
      </c>
      <c r="P41" s="8">
        <f t="shared" si="23"/>
        <v>248579.37011296293</v>
      </c>
      <c r="Q41" s="8">
        <f t="shared" si="23"/>
        <v>241912.70344629628</v>
      </c>
    </row>
    <row r="42" spans="2:18" x14ac:dyDescent="0.2">
      <c r="E42"/>
      <c r="F42"/>
    </row>
    <row r="43" spans="2:18" x14ac:dyDescent="0.2">
      <c r="B43" s="5" t="s">
        <v>266</v>
      </c>
      <c r="F43" s="1"/>
    </row>
    <row r="44" spans="2:18" ht="15" x14ac:dyDescent="0.35">
      <c r="B44" s="5"/>
      <c r="C44" s="29" t="s">
        <v>267</v>
      </c>
      <c r="E44" s="4">
        <f>+Annual!Z95</f>
        <v>76000</v>
      </c>
      <c r="F44" s="4">
        <f>+$E$44/12</f>
        <v>6333.333333333333</v>
      </c>
      <c r="G44" s="4">
        <f t="shared" ref="G44:Q44" si="24">+$E$44/12</f>
        <v>6333.333333333333</v>
      </c>
      <c r="H44" s="4">
        <f t="shared" si="24"/>
        <v>6333.333333333333</v>
      </c>
      <c r="I44" s="4">
        <f t="shared" si="24"/>
        <v>6333.333333333333</v>
      </c>
      <c r="J44" s="4">
        <f t="shared" si="24"/>
        <v>6333.333333333333</v>
      </c>
      <c r="K44" s="4">
        <f t="shared" si="24"/>
        <v>6333.333333333333</v>
      </c>
      <c r="L44" s="4">
        <f t="shared" si="24"/>
        <v>6333.333333333333</v>
      </c>
      <c r="M44" s="4">
        <f t="shared" si="24"/>
        <v>6333.333333333333</v>
      </c>
      <c r="N44" s="4">
        <f t="shared" si="24"/>
        <v>6333.333333333333</v>
      </c>
      <c r="O44" s="4">
        <f t="shared" si="24"/>
        <v>6333.333333333333</v>
      </c>
      <c r="P44" s="4">
        <f t="shared" si="24"/>
        <v>6333.333333333333</v>
      </c>
      <c r="Q44" s="4">
        <f t="shared" si="24"/>
        <v>6333.333333333333</v>
      </c>
    </row>
    <row r="45" spans="2:18" x14ac:dyDescent="0.2">
      <c r="B45" s="5"/>
      <c r="C45" s="29"/>
      <c r="D45" s="5" t="s">
        <v>268</v>
      </c>
      <c r="E45" s="8">
        <f>SUBTOTAL(9,E44)</f>
        <v>76000</v>
      </c>
      <c r="F45" s="8">
        <f>SUBTOTAL(9,F44)</f>
        <v>6333.333333333333</v>
      </c>
      <c r="G45" s="8">
        <f t="shared" ref="G45:Q45" si="25">SUBTOTAL(9,G44)</f>
        <v>6333.333333333333</v>
      </c>
      <c r="H45" s="8">
        <f t="shared" si="25"/>
        <v>6333.333333333333</v>
      </c>
      <c r="I45" s="8">
        <f t="shared" si="25"/>
        <v>6333.333333333333</v>
      </c>
      <c r="J45" s="8">
        <f t="shared" si="25"/>
        <v>6333.333333333333</v>
      </c>
      <c r="K45" s="8">
        <f t="shared" si="25"/>
        <v>6333.333333333333</v>
      </c>
      <c r="L45" s="8">
        <f t="shared" si="25"/>
        <v>6333.333333333333</v>
      </c>
      <c r="M45" s="8">
        <f t="shared" si="25"/>
        <v>6333.333333333333</v>
      </c>
      <c r="N45" s="8">
        <f t="shared" si="25"/>
        <v>6333.333333333333</v>
      </c>
      <c r="O45" s="8">
        <f t="shared" si="25"/>
        <v>6333.333333333333</v>
      </c>
      <c r="P45" s="8">
        <f t="shared" si="25"/>
        <v>6333.333333333333</v>
      </c>
      <c r="Q45" s="8">
        <f t="shared" si="25"/>
        <v>6333.333333333333</v>
      </c>
    </row>
    <row r="46" spans="2:18" x14ac:dyDescent="0.2">
      <c r="B46" s="5"/>
      <c r="C46" t="s">
        <v>7</v>
      </c>
      <c r="E46" s="1">
        <f>+Annual!Z97</f>
        <v>1000</v>
      </c>
      <c r="F46" s="1">
        <f>+$E$46/12</f>
        <v>83.333333333333329</v>
      </c>
      <c r="G46" s="1">
        <f t="shared" ref="G46:Q46" si="26">+$E$46/12</f>
        <v>83.333333333333329</v>
      </c>
      <c r="H46" s="1">
        <f t="shared" si="26"/>
        <v>83.333333333333329</v>
      </c>
      <c r="I46" s="1">
        <f t="shared" si="26"/>
        <v>83.333333333333329</v>
      </c>
      <c r="J46" s="1">
        <f t="shared" si="26"/>
        <v>83.333333333333329</v>
      </c>
      <c r="K46" s="1">
        <f t="shared" si="26"/>
        <v>83.333333333333329</v>
      </c>
      <c r="L46" s="1">
        <f t="shared" si="26"/>
        <v>83.333333333333329</v>
      </c>
      <c r="M46" s="1">
        <f t="shared" si="26"/>
        <v>83.333333333333329</v>
      </c>
      <c r="N46" s="1">
        <f t="shared" si="26"/>
        <v>83.333333333333329</v>
      </c>
      <c r="O46" s="1">
        <f t="shared" si="26"/>
        <v>83.333333333333329</v>
      </c>
      <c r="P46" s="1">
        <f t="shared" si="26"/>
        <v>83.333333333333329</v>
      </c>
      <c r="Q46" s="1">
        <f t="shared" si="26"/>
        <v>83.333333333333329</v>
      </c>
    </row>
    <row r="47" spans="2:18" x14ac:dyDescent="0.2">
      <c r="B47" s="5"/>
      <c r="C47" t="s">
        <v>8</v>
      </c>
      <c r="E47" s="1">
        <f>+Annual!Z98</f>
        <v>5814</v>
      </c>
      <c r="F47" s="1">
        <f>+$E$47/12</f>
        <v>484.5</v>
      </c>
      <c r="G47" s="1">
        <f t="shared" ref="G47:Q47" si="27">+$E$47/12</f>
        <v>484.5</v>
      </c>
      <c r="H47" s="1">
        <f t="shared" si="27"/>
        <v>484.5</v>
      </c>
      <c r="I47" s="1">
        <f t="shared" si="27"/>
        <v>484.5</v>
      </c>
      <c r="J47" s="1">
        <f t="shared" si="27"/>
        <v>484.5</v>
      </c>
      <c r="K47" s="1">
        <f t="shared" si="27"/>
        <v>484.5</v>
      </c>
      <c r="L47" s="1">
        <f t="shared" si="27"/>
        <v>484.5</v>
      </c>
      <c r="M47" s="1">
        <f t="shared" si="27"/>
        <v>484.5</v>
      </c>
      <c r="N47" s="1">
        <f t="shared" si="27"/>
        <v>484.5</v>
      </c>
      <c r="O47" s="1">
        <f t="shared" si="27"/>
        <v>484.5</v>
      </c>
      <c r="P47" s="1">
        <f t="shared" si="27"/>
        <v>484.5</v>
      </c>
      <c r="Q47" s="1">
        <f t="shared" si="27"/>
        <v>484.5</v>
      </c>
    </row>
    <row r="48" spans="2:18" x14ac:dyDescent="0.2">
      <c r="B48" s="5"/>
      <c r="C48" s="25" t="s">
        <v>9</v>
      </c>
      <c r="D48" s="25"/>
      <c r="E48" s="1">
        <f>+Annual!Z99</f>
        <v>5140</v>
      </c>
      <c r="F48" s="1">
        <f>+$E48*0.08-1</f>
        <v>410.2</v>
      </c>
      <c r="G48" s="1">
        <f>+$E48*0.08-1</f>
        <v>410.2</v>
      </c>
      <c r="H48" s="1">
        <f>+$E48*0.08-1</f>
        <v>410.2</v>
      </c>
      <c r="I48" s="1">
        <f>+$E48*0.0845</f>
        <v>434.33000000000004</v>
      </c>
      <c r="J48" s="1">
        <f t="shared" ref="J48:Q48" si="28">+$E48*0.0845</f>
        <v>434.33000000000004</v>
      </c>
      <c r="K48" s="1">
        <f t="shared" si="28"/>
        <v>434.33000000000004</v>
      </c>
      <c r="L48" s="1">
        <f t="shared" si="28"/>
        <v>434.33000000000004</v>
      </c>
      <c r="M48" s="1">
        <f t="shared" si="28"/>
        <v>434.33000000000004</v>
      </c>
      <c r="N48" s="1">
        <f t="shared" si="28"/>
        <v>434.33000000000004</v>
      </c>
      <c r="O48" s="1">
        <f t="shared" si="28"/>
        <v>434.33000000000004</v>
      </c>
      <c r="P48" s="1">
        <f t="shared" si="28"/>
        <v>434.33000000000004</v>
      </c>
      <c r="Q48" s="1">
        <f t="shared" si="28"/>
        <v>434.33000000000004</v>
      </c>
      <c r="R48" s="1"/>
    </row>
    <row r="49" spans="1:17" x14ac:dyDescent="0.2">
      <c r="B49" s="5"/>
      <c r="C49" t="s">
        <v>10</v>
      </c>
      <c r="E49" s="1">
        <f>+Annual!Z100</f>
        <v>423.32760000000002</v>
      </c>
      <c r="F49" s="1">
        <f>+$E$49/12</f>
        <v>35.277300000000004</v>
      </c>
      <c r="G49" s="1">
        <f t="shared" ref="G49:Q49" si="29">+$E$49/12</f>
        <v>35.277300000000004</v>
      </c>
      <c r="H49" s="1">
        <f t="shared" si="29"/>
        <v>35.277300000000004</v>
      </c>
      <c r="I49" s="1">
        <f t="shared" si="29"/>
        <v>35.277300000000004</v>
      </c>
      <c r="J49" s="1">
        <f t="shared" si="29"/>
        <v>35.277300000000004</v>
      </c>
      <c r="K49" s="1">
        <f t="shared" si="29"/>
        <v>35.277300000000004</v>
      </c>
      <c r="L49" s="1">
        <f t="shared" si="29"/>
        <v>35.277300000000004</v>
      </c>
      <c r="M49" s="1">
        <f t="shared" si="29"/>
        <v>35.277300000000004</v>
      </c>
      <c r="N49" s="1">
        <f t="shared" si="29"/>
        <v>35.277300000000004</v>
      </c>
      <c r="O49" s="1">
        <f t="shared" si="29"/>
        <v>35.277300000000004</v>
      </c>
      <c r="P49" s="1">
        <f t="shared" si="29"/>
        <v>35.277300000000004</v>
      </c>
      <c r="Q49" s="1">
        <f t="shared" si="29"/>
        <v>35.277300000000004</v>
      </c>
    </row>
    <row r="50" spans="1:17" ht="15" x14ac:dyDescent="0.35">
      <c r="B50" s="5"/>
      <c r="C50" s="29" t="s">
        <v>269</v>
      </c>
      <c r="E50" s="4">
        <f>+Annual!Z101</f>
        <v>98</v>
      </c>
      <c r="F50" s="4">
        <f>+$E$50/12</f>
        <v>8.1666666666666661</v>
      </c>
      <c r="G50" s="4">
        <f t="shared" ref="G50:Q50" si="30">+$E$50/12</f>
        <v>8.1666666666666661</v>
      </c>
      <c r="H50" s="4">
        <f t="shared" si="30"/>
        <v>8.1666666666666661</v>
      </c>
      <c r="I50" s="4">
        <f t="shared" si="30"/>
        <v>8.1666666666666661</v>
      </c>
      <c r="J50" s="4">
        <f t="shared" si="30"/>
        <v>8.1666666666666661</v>
      </c>
      <c r="K50" s="4">
        <f t="shared" si="30"/>
        <v>8.1666666666666661</v>
      </c>
      <c r="L50" s="4">
        <f t="shared" si="30"/>
        <v>8.1666666666666661</v>
      </c>
      <c r="M50" s="4">
        <f t="shared" si="30"/>
        <v>8.1666666666666661</v>
      </c>
      <c r="N50" s="4">
        <f t="shared" si="30"/>
        <v>8.1666666666666661</v>
      </c>
      <c r="O50" s="4">
        <f t="shared" si="30"/>
        <v>8.1666666666666661</v>
      </c>
      <c r="P50" s="4">
        <f t="shared" si="30"/>
        <v>8.1666666666666661</v>
      </c>
      <c r="Q50" s="4">
        <f t="shared" si="30"/>
        <v>8.1666666666666661</v>
      </c>
    </row>
    <row r="51" spans="1:17" x14ac:dyDescent="0.2">
      <c r="B51" s="5"/>
      <c r="D51" s="5" t="s">
        <v>270</v>
      </c>
      <c r="E51" s="8">
        <f>SUBTOTAL(9,E46:E50)</f>
        <v>12475.327600000001</v>
      </c>
      <c r="F51" s="8">
        <f>SUBTOTAL(9,F46:F50)</f>
        <v>1021.4772999999999</v>
      </c>
      <c r="G51" s="8">
        <f t="shared" ref="G51:Q51" si="31">SUBTOTAL(9,G46:G50)</f>
        <v>1021.4772999999999</v>
      </c>
      <c r="H51" s="8">
        <f t="shared" si="31"/>
        <v>1021.4772999999999</v>
      </c>
      <c r="I51" s="8">
        <f t="shared" si="31"/>
        <v>1045.6073000000001</v>
      </c>
      <c r="J51" s="8">
        <f t="shared" si="31"/>
        <v>1045.6073000000001</v>
      </c>
      <c r="K51" s="8">
        <f t="shared" si="31"/>
        <v>1045.6073000000001</v>
      </c>
      <c r="L51" s="8">
        <f t="shared" si="31"/>
        <v>1045.6073000000001</v>
      </c>
      <c r="M51" s="8">
        <f t="shared" si="31"/>
        <v>1045.6073000000001</v>
      </c>
      <c r="N51" s="8">
        <f t="shared" si="31"/>
        <v>1045.6073000000001</v>
      </c>
      <c r="O51" s="8">
        <f t="shared" si="31"/>
        <v>1045.6073000000001</v>
      </c>
      <c r="P51" s="8">
        <f t="shared" si="31"/>
        <v>1045.6073000000001</v>
      </c>
      <c r="Q51" s="8">
        <f t="shared" si="31"/>
        <v>1045.6073000000001</v>
      </c>
    </row>
    <row r="52" spans="1:17" ht="15" x14ac:dyDescent="0.35">
      <c r="B52" s="5"/>
      <c r="C52" t="s">
        <v>11</v>
      </c>
      <c r="D52" s="5"/>
      <c r="E52" s="4">
        <f>+Annual!Z103</f>
        <v>19000</v>
      </c>
      <c r="F52" s="4">
        <f>+$E$52/12</f>
        <v>1583.3333333333333</v>
      </c>
      <c r="G52" s="4">
        <f t="shared" ref="G52:Q52" si="32">+$E$52/12</f>
        <v>1583.3333333333333</v>
      </c>
      <c r="H52" s="4">
        <f t="shared" si="32"/>
        <v>1583.3333333333333</v>
      </c>
      <c r="I52" s="4">
        <f t="shared" si="32"/>
        <v>1583.3333333333333</v>
      </c>
      <c r="J52" s="4">
        <f t="shared" si="32"/>
        <v>1583.3333333333333</v>
      </c>
      <c r="K52" s="4">
        <f t="shared" si="32"/>
        <v>1583.3333333333333</v>
      </c>
      <c r="L52" s="4">
        <f t="shared" si="32"/>
        <v>1583.3333333333333</v>
      </c>
      <c r="M52" s="4">
        <f t="shared" si="32"/>
        <v>1583.3333333333333</v>
      </c>
      <c r="N52" s="4">
        <f t="shared" si="32"/>
        <v>1583.3333333333333</v>
      </c>
      <c r="O52" s="4">
        <f t="shared" si="32"/>
        <v>1583.3333333333333</v>
      </c>
      <c r="P52" s="4">
        <f t="shared" si="32"/>
        <v>1583.3333333333333</v>
      </c>
      <c r="Q52" s="4">
        <f t="shared" si="32"/>
        <v>1583.3333333333333</v>
      </c>
    </row>
    <row r="53" spans="1:17" ht="15" x14ac:dyDescent="0.35">
      <c r="B53" s="5"/>
      <c r="D53" s="5" t="s">
        <v>43</v>
      </c>
      <c r="E53" s="39">
        <f>+E52</f>
        <v>19000</v>
      </c>
      <c r="F53" s="39">
        <f>+F52</f>
        <v>1583.3333333333333</v>
      </c>
      <c r="G53" s="39">
        <f t="shared" ref="G53:Q53" si="33">+G52</f>
        <v>1583.3333333333333</v>
      </c>
      <c r="H53" s="39">
        <f t="shared" si="33"/>
        <v>1583.3333333333333</v>
      </c>
      <c r="I53" s="39">
        <f t="shared" si="33"/>
        <v>1583.3333333333333</v>
      </c>
      <c r="J53" s="39">
        <f t="shared" si="33"/>
        <v>1583.3333333333333</v>
      </c>
      <c r="K53" s="39">
        <f t="shared" si="33"/>
        <v>1583.3333333333333</v>
      </c>
      <c r="L53" s="39">
        <f t="shared" si="33"/>
        <v>1583.3333333333333</v>
      </c>
      <c r="M53" s="39">
        <f t="shared" si="33"/>
        <v>1583.3333333333333</v>
      </c>
      <c r="N53" s="39">
        <f t="shared" si="33"/>
        <v>1583.3333333333333</v>
      </c>
      <c r="O53" s="39">
        <f t="shared" si="33"/>
        <v>1583.3333333333333</v>
      </c>
      <c r="P53" s="39">
        <f t="shared" si="33"/>
        <v>1583.3333333333333</v>
      </c>
      <c r="Q53" s="39">
        <f t="shared" si="33"/>
        <v>1583.3333333333333</v>
      </c>
    </row>
    <row r="54" spans="1:17" x14ac:dyDescent="0.2">
      <c r="B54" s="5" t="s">
        <v>271</v>
      </c>
      <c r="D54" s="5"/>
      <c r="E54" s="8">
        <f>E45+E51+E53</f>
        <v>107475.3276</v>
      </c>
      <c r="F54" s="8">
        <f>F45+F51+F53</f>
        <v>8938.1439666666665</v>
      </c>
      <c r="G54" s="8">
        <f t="shared" ref="G54:Q54" si="34">G45+G51+G53</f>
        <v>8938.1439666666665</v>
      </c>
      <c r="H54" s="8">
        <f t="shared" si="34"/>
        <v>8938.1439666666665</v>
      </c>
      <c r="I54" s="8">
        <f t="shared" si="34"/>
        <v>8962.2739666666675</v>
      </c>
      <c r="J54" s="8">
        <f t="shared" si="34"/>
        <v>8962.2739666666675</v>
      </c>
      <c r="K54" s="8">
        <f t="shared" si="34"/>
        <v>8962.2739666666675</v>
      </c>
      <c r="L54" s="8">
        <f t="shared" si="34"/>
        <v>8962.2739666666675</v>
      </c>
      <c r="M54" s="8">
        <f t="shared" si="34"/>
        <v>8962.2739666666675</v>
      </c>
      <c r="N54" s="8">
        <f t="shared" si="34"/>
        <v>8962.2739666666675</v>
      </c>
      <c r="O54" s="8">
        <f t="shared" si="34"/>
        <v>8962.2739666666675</v>
      </c>
      <c r="P54" s="8">
        <f t="shared" si="34"/>
        <v>8962.2739666666675</v>
      </c>
      <c r="Q54" s="8">
        <f t="shared" si="34"/>
        <v>8962.2739666666675</v>
      </c>
    </row>
    <row r="55" spans="1:17" x14ac:dyDescent="0.2">
      <c r="B55" s="5"/>
      <c r="D55" s="5"/>
      <c r="E55"/>
      <c r="F55"/>
    </row>
    <row r="56" spans="1:17" x14ac:dyDescent="0.2">
      <c r="B56" s="5" t="s">
        <v>24</v>
      </c>
      <c r="F56" s="1"/>
    </row>
    <row r="57" spans="1:17" x14ac:dyDescent="0.2">
      <c r="C57" t="s">
        <v>20</v>
      </c>
      <c r="E57" s="1">
        <f>+Annual!Z119</f>
        <v>2500</v>
      </c>
      <c r="F57" s="1">
        <f>+$E$57/12</f>
        <v>208.33333333333334</v>
      </c>
      <c r="G57" s="1">
        <f t="shared" ref="G57:Q57" si="35">+$E$57/12</f>
        <v>208.33333333333334</v>
      </c>
      <c r="H57" s="1">
        <f t="shared" si="35"/>
        <v>208.33333333333334</v>
      </c>
      <c r="I57" s="1">
        <f t="shared" si="35"/>
        <v>208.33333333333334</v>
      </c>
      <c r="J57" s="1">
        <f t="shared" si="35"/>
        <v>208.33333333333334</v>
      </c>
      <c r="K57" s="1">
        <f t="shared" si="35"/>
        <v>208.33333333333334</v>
      </c>
      <c r="L57" s="1">
        <f t="shared" si="35"/>
        <v>208.33333333333334</v>
      </c>
      <c r="M57" s="1">
        <f t="shared" si="35"/>
        <v>208.33333333333334</v>
      </c>
      <c r="N57" s="1">
        <f t="shared" si="35"/>
        <v>208.33333333333334</v>
      </c>
      <c r="O57" s="1">
        <f t="shared" si="35"/>
        <v>208.33333333333334</v>
      </c>
      <c r="P57" s="1">
        <f t="shared" si="35"/>
        <v>208.33333333333334</v>
      </c>
      <c r="Q57" s="1">
        <f t="shared" si="35"/>
        <v>208.33333333333334</v>
      </c>
    </row>
    <row r="58" spans="1:17" x14ac:dyDescent="0.2">
      <c r="A58" s="49"/>
      <c r="B58" s="49"/>
      <c r="C58" s="49" t="s">
        <v>157</v>
      </c>
      <c r="D58" s="49"/>
      <c r="E58" s="1">
        <f>+Annual!Z120</f>
        <v>200805.48740740743</v>
      </c>
      <c r="F58" s="1">
        <f>+$E$58/12</f>
        <v>16733.790617283954</v>
      </c>
      <c r="G58" s="1">
        <f t="shared" ref="G58:Q58" si="36">+$E$58/12</f>
        <v>16733.790617283954</v>
      </c>
      <c r="H58" s="1">
        <f t="shared" si="36"/>
        <v>16733.790617283954</v>
      </c>
      <c r="I58" s="1">
        <f t="shared" si="36"/>
        <v>16733.790617283954</v>
      </c>
      <c r="J58" s="1">
        <f t="shared" si="36"/>
        <v>16733.790617283954</v>
      </c>
      <c r="K58" s="1">
        <f t="shared" si="36"/>
        <v>16733.790617283954</v>
      </c>
      <c r="L58" s="1">
        <f t="shared" si="36"/>
        <v>16733.790617283954</v>
      </c>
      <c r="M58" s="1">
        <f t="shared" si="36"/>
        <v>16733.790617283954</v>
      </c>
      <c r="N58" s="1">
        <f t="shared" si="36"/>
        <v>16733.790617283954</v>
      </c>
      <c r="O58" s="1">
        <f t="shared" si="36"/>
        <v>16733.790617283954</v>
      </c>
      <c r="P58" s="1">
        <f t="shared" si="36"/>
        <v>16733.790617283954</v>
      </c>
      <c r="Q58" s="1">
        <f t="shared" si="36"/>
        <v>16733.790617283954</v>
      </c>
    </row>
    <row r="59" spans="1:17" x14ac:dyDescent="0.2">
      <c r="C59" t="s">
        <v>76</v>
      </c>
      <c r="E59" s="1">
        <f>+Annual!Z122</f>
        <v>7000</v>
      </c>
      <c r="F59" s="1">
        <v>7000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</row>
    <row r="60" spans="1:17" x14ac:dyDescent="0.2">
      <c r="C60" t="s">
        <v>12</v>
      </c>
      <c r="E60" s="1">
        <f>+Annual!Z124</f>
        <v>3500</v>
      </c>
      <c r="F60" s="1">
        <v>0</v>
      </c>
      <c r="G60" s="1">
        <v>0</v>
      </c>
      <c r="H60" s="1">
        <v>0</v>
      </c>
      <c r="I60" s="1">
        <v>0</v>
      </c>
      <c r="J60" s="1">
        <v>3500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</row>
    <row r="61" spans="1:17" x14ac:dyDescent="0.2">
      <c r="C61" t="s">
        <v>21</v>
      </c>
      <c r="E61" s="1">
        <f>+Annual!Z123</f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</row>
    <row r="62" spans="1:17" x14ac:dyDescent="0.2">
      <c r="C62" s="36" t="s">
        <v>309</v>
      </c>
      <c r="E62" s="1">
        <f>+Annual!Z127</f>
        <v>15000</v>
      </c>
      <c r="F62" s="1">
        <f>+$E$62/12</f>
        <v>1250</v>
      </c>
      <c r="G62" s="1">
        <f t="shared" ref="G62:Q62" si="37">+$E$62/12</f>
        <v>1250</v>
      </c>
      <c r="H62" s="1">
        <f t="shared" si="37"/>
        <v>1250</v>
      </c>
      <c r="I62" s="1">
        <f t="shared" si="37"/>
        <v>1250</v>
      </c>
      <c r="J62" s="1">
        <f t="shared" si="37"/>
        <v>1250</v>
      </c>
      <c r="K62" s="1">
        <f t="shared" si="37"/>
        <v>1250</v>
      </c>
      <c r="L62" s="1">
        <f t="shared" si="37"/>
        <v>1250</v>
      </c>
      <c r="M62" s="1">
        <f t="shared" si="37"/>
        <v>1250</v>
      </c>
      <c r="N62" s="1">
        <f t="shared" si="37"/>
        <v>1250</v>
      </c>
      <c r="O62" s="1">
        <f t="shared" si="37"/>
        <v>1250</v>
      </c>
      <c r="P62" s="1">
        <f t="shared" si="37"/>
        <v>1250</v>
      </c>
      <c r="Q62" s="1">
        <f t="shared" si="37"/>
        <v>1250</v>
      </c>
    </row>
    <row r="63" spans="1:17" ht="15" x14ac:dyDescent="0.35">
      <c r="C63" t="s">
        <v>22</v>
      </c>
      <c r="E63" s="4">
        <f>+Annual!Z125</f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</row>
    <row r="64" spans="1:17" ht="15" x14ac:dyDescent="0.35">
      <c r="B64" s="5" t="s">
        <v>23</v>
      </c>
      <c r="C64" s="5"/>
      <c r="D64" s="5"/>
      <c r="E64" s="6">
        <f>SUBTOTAL(9,E57:E63)</f>
        <v>228805.48740740743</v>
      </c>
      <c r="F64" s="6">
        <f>SUBTOTAL(9,F57:F63)</f>
        <v>25192.123950617286</v>
      </c>
      <c r="G64" s="6">
        <f t="shared" ref="G64:Q64" si="38">SUBTOTAL(9,G57:G63)</f>
        <v>18192.123950617286</v>
      </c>
      <c r="H64" s="6">
        <f t="shared" si="38"/>
        <v>18192.123950617286</v>
      </c>
      <c r="I64" s="6">
        <f t="shared" si="38"/>
        <v>18192.123950617286</v>
      </c>
      <c r="J64" s="6">
        <f t="shared" si="38"/>
        <v>21692.123950617286</v>
      </c>
      <c r="K64" s="6">
        <f t="shared" si="38"/>
        <v>18192.123950617286</v>
      </c>
      <c r="L64" s="6">
        <f t="shared" si="38"/>
        <v>18192.123950617286</v>
      </c>
      <c r="M64" s="6">
        <f t="shared" si="38"/>
        <v>18192.123950617286</v>
      </c>
      <c r="N64" s="6">
        <f t="shared" si="38"/>
        <v>18192.123950617286</v>
      </c>
      <c r="O64" s="6">
        <f t="shared" si="38"/>
        <v>18192.123950617286</v>
      </c>
      <c r="P64" s="6">
        <f t="shared" si="38"/>
        <v>18192.123950617286</v>
      </c>
      <c r="Q64" s="6">
        <f t="shared" si="38"/>
        <v>18192.123950617286</v>
      </c>
    </row>
    <row r="65" spans="2:17" ht="14.25" customHeight="1" x14ac:dyDescent="0.2">
      <c r="F65" s="1"/>
    </row>
    <row r="66" spans="2:17" x14ac:dyDescent="0.2">
      <c r="B66" s="5" t="s">
        <v>26</v>
      </c>
      <c r="F66" s="1"/>
    </row>
    <row r="67" spans="2:17" x14ac:dyDescent="0.2">
      <c r="C67" t="s">
        <v>227</v>
      </c>
      <c r="E67" s="1">
        <f>+Annual!Z133</f>
        <v>206000</v>
      </c>
      <c r="F67" s="1">
        <f>+$E$67/12</f>
        <v>17166.666666666668</v>
      </c>
      <c r="G67" s="1">
        <f t="shared" ref="G67:Q67" si="39">+$E$67/12</f>
        <v>17166.666666666668</v>
      </c>
      <c r="H67" s="1">
        <f t="shared" si="39"/>
        <v>17166.666666666668</v>
      </c>
      <c r="I67" s="1">
        <f t="shared" si="39"/>
        <v>17166.666666666668</v>
      </c>
      <c r="J67" s="1">
        <f t="shared" si="39"/>
        <v>17166.666666666668</v>
      </c>
      <c r="K67" s="1">
        <f t="shared" si="39"/>
        <v>17166.666666666668</v>
      </c>
      <c r="L67" s="1">
        <f t="shared" si="39"/>
        <v>17166.666666666668</v>
      </c>
      <c r="M67" s="1">
        <f t="shared" si="39"/>
        <v>17166.666666666668</v>
      </c>
      <c r="N67" s="1">
        <f t="shared" si="39"/>
        <v>17166.666666666668</v>
      </c>
      <c r="O67" s="1">
        <f t="shared" si="39"/>
        <v>17166.666666666668</v>
      </c>
      <c r="P67" s="1">
        <f t="shared" si="39"/>
        <v>17166.666666666668</v>
      </c>
      <c r="Q67" s="1">
        <f t="shared" si="39"/>
        <v>17166.666666666668</v>
      </c>
    </row>
    <row r="68" spans="2:17" ht="15" x14ac:dyDescent="0.35">
      <c r="C68" t="s">
        <v>253</v>
      </c>
      <c r="E68" s="4">
        <f>+Annual!Z136</f>
        <v>145500</v>
      </c>
      <c r="F68" s="4">
        <f>+$E$68/12</f>
        <v>12125</v>
      </c>
      <c r="G68" s="4">
        <f t="shared" ref="G68:Q68" si="40">+$E$68/12</f>
        <v>12125</v>
      </c>
      <c r="H68" s="4">
        <f t="shared" si="40"/>
        <v>12125</v>
      </c>
      <c r="I68" s="4">
        <f t="shared" si="40"/>
        <v>12125</v>
      </c>
      <c r="J68" s="4">
        <f t="shared" si="40"/>
        <v>12125</v>
      </c>
      <c r="K68" s="4">
        <f t="shared" si="40"/>
        <v>12125</v>
      </c>
      <c r="L68" s="4">
        <f t="shared" si="40"/>
        <v>12125</v>
      </c>
      <c r="M68" s="4">
        <f t="shared" si="40"/>
        <v>12125</v>
      </c>
      <c r="N68" s="4">
        <f t="shared" si="40"/>
        <v>12125</v>
      </c>
      <c r="O68" s="4">
        <f t="shared" si="40"/>
        <v>12125</v>
      </c>
      <c r="P68" s="4">
        <f t="shared" si="40"/>
        <v>12125</v>
      </c>
      <c r="Q68" s="4">
        <f t="shared" si="40"/>
        <v>12125</v>
      </c>
    </row>
    <row r="69" spans="2:17" ht="15" x14ac:dyDescent="0.35">
      <c r="D69" s="5" t="s">
        <v>27</v>
      </c>
      <c r="E69" s="39">
        <f>SUBTOTAL(9,E67:E68)</f>
        <v>351500</v>
      </c>
      <c r="F69" s="39">
        <f>SUBTOTAL(9,F67:F68)</f>
        <v>29291.666666666668</v>
      </c>
      <c r="G69" s="39">
        <f t="shared" ref="G69:Q69" si="41">SUBTOTAL(9,G67:G68)</f>
        <v>29291.666666666668</v>
      </c>
      <c r="H69" s="39">
        <f t="shared" si="41"/>
        <v>29291.666666666668</v>
      </c>
      <c r="I69" s="39">
        <f t="shared" si="41"/>
        <v>29291.666666666668</v>
      </c>
      <c r="J69" s="39">
        <f t="shared" si="41"/>
        <v>29291.666666666668</v>
      </c>
      <c r="K69" s="39">
        <f t="shared" si="41"/>
        <v>29291.666666666668</v>
      </c>
      <c r="L69" s="39">
        <f t="shared" si="41"/>
        <v>29291.666666666668</v>
      </c>
      <c r="M69" s="39">
        <f t="shared" si="41"/>
        <v>29291.666666666668</v>
      </c>
      <c r="N69" s="39">
        <f t="shared" si="41"/>
        <v>29291.666666666668</v>
      </c>
      <c r="O69" s="39">
        <f t="shared" si="41"/>
        <v>29291.666666666668</v>
      </c>
      <c r="P69" s="39">
        <f t="shared" si="41"/>
        <v>29291.666666666668</v>
      </c>
      <c r="Q69" s="39">
        <f t="shared" si="41"/>
        <v>29291.666666666668</v>
      </c>
    </row>
    <row r="70" spans="2:17" x14ac:dyDescent="0.2">
      <c r="C70" t="s">
        <v>7</v>
      </c>
      <c r="E70" s="1">
        <f>+Annual!Z138</f>
        <v>4000</v>
      </c>
      <c r="F70" s="1">
        <f>+$E$70/12</f>
        <v>333.33333333333331</v>
      </c>
      <c r="G70" s="1">
        <f t="shared" ref="G70:Q70" si="42">+$E$70/12</f>
        <v>333.33333333333331</v>
      </c>
      <c r="H70" s="1">
        <f t="shared" si="42"/>
        <v>333.33333333333331</v>
      </c>
      <c r="I70" s="1">
        <f t="shared" si="42"/>
        <v>333.33333333333331</v>
      </c>
      <c r="J70" s="1">
        <f t="shared" si="42"/>
        <v>333.33333333333331</v>
      </c>
      <c r="K70" s="1">
        <f t="shared" si="42"/>
        <v>333.33333333333331</v>
      </c>
      <c r="L70" s="1">
        <f t="shared" si="42"/>
        <v>333.33333333333331</v>
      </c>
      <c r="M70" s="1">
        <f t="shared" si="42"/>
        <v>333.33333333333331</v>
      </c>
      <c r="N70" s="1">
        <f t="shared" si="42"/>
        <v>333.33333333333331</v>
      </c>
      <c r="O70" s="1">
        <f t="shared" si="42"/>
        <v>333.33333333333331</v>
      </c>
      <c r="P70" s="1">
        <f t="shared" si="42"/>
        <v>333.33333333333331</v>
      </c>
      <c r="Q70" s="1">
        <f t="shared" si="42"/>
        <v>333.33333333333331</v>
      </c>
    </row>
    <row r="71" spans="2:17" x14ac:dyDescent="0.2">
      <c r="C71" t="s">
        <v>8</v>
      </c>
      <c r="E71" s="1">
        <f>+Annual!Z139</f>
        <v>26889.75</v>
      </c>
      <c r="F71" s="1">
        <f>+$E$71/12</f>
        <v>2240.8125</v>
      </c>
      <c r="G71" s="1">
        <f t="shared" ref="G71:Q71" si="43">+$E$71/12</f>
        <v>2240.8125</v>
      </c>
      <c r="H71" s="1">
        <f t="shared" si="43"/>
        <v>2240.8125</v>
      </c>
      <c r="I71" s="1">
        <f t="shared" si="43"/>
        <v>2240.8125</v>
      </c>
      <c r="J71" s="1">
        <f t="shared" si="43"/>
        <v>2240.8125</v>
      </c>
      <c r="K71" s="1">
        <f t="shared" si="43"/>
        <v>2240.8125</v>
      </c>
      <c r="L71" s="1">
        <f t="shared" si="43"/>
        <v>2240.8125</v>
      </c>
      <c r="M71" s="1">
        <f t="shared" si="43"/>
        <v>2240.8125</v>
      </c>
      <c r="N71" s="1">
        <f t="shared" si="43"/>
        <v>2240.8125</v>
      </c>
      <c r="O71" s="1">
        <f t="shared" si="43"/>
        <v>2240.8125</v>
      </c>
      <c r="P71" s="1">
        <f t="shared" si="43"/>
        <v>2240.8125</v>
      </c>
      <c r="Q71" s="1">
        <f t="shared" si="43"/>
        <v>2240.8125</v>
      </c>
    </row>
    <row r="72" spans="2:17" ht="12.75" customHeight="1" x14ac:dyDescent="0.2">
      <c r="C72" t="s">
        <v>9</v>
      </c>
      <c r="E72" s="1">
        <f>+Annual!Z140</f>
        <v>23230</v>
      </c>
      <c r="F72" s="1">
        <f>+$E72*0.08</f>
        <v>1858.4</v>
      </c>
      <c r="G72" s="1">
        <f t="shared" ref="G72:H72" si="44">+$E72*0.08</f>
        <v>1858.4</v>
      </c>
      <c r="H72" s="1">
        <f t="shared" si="44"/>
        <v>1858.4</v>
      </c>
      <c r="I72" s="1">
        <f>+$E72*0.0845</f>
        <v>1962.9350000000002</v>
      </c>
      <c r="J72" s="1">
        <f>+$E72*0.0845</f>
        <v>1962.9350000000002</v>
      </c>
      <c r="K72" s="1">
        <f>+$E72*0.0845</f>
        <v>1962.9350000000002</v>
      </c>
      <c r="L72" s="1">
        <f t="shared" ref="L72:Q72" si="45">+$E72*0.0845-2</f>
        <v>1960.9350000000002</v>
      </c>
      <c r="M72" s="1">
        <f t="shared" si="45"/>
        <v>1960.9350000000002</v>
      </c>
      <c r="N72" s="1">
        <f t="shared" si="45"/>
        <v>1960.9350000000002</v>
      </c>
      <c r="O72" s="1">
        <f t="shared" si="45"/>
        <v>1960.9350000000002</v>
      </c>
      <c r="P72" s="1">
        <f t="shared" si="45"/>
        <v>1960.9350000000002</v>
      </c>
      <c r="Q72" s="1">
        <f t="shared" si="45"/>
        <v>1960.9350000000002</v>
      </c>
    </row>
    <row r="73" spans="2:17" x14ac:dyDescent="0.2">
      <c r="C73" t="s">
        <v>10</v>
      </c>
      <c r="E73" s="1">
        <f>+Annual!Z141</f>
        <v>2059.41</v>
      </c>
      <c r="F73" s="1">
        <f>+$E$73/12</f>
        <v>171.61749999999998</v>
      </c>
      <c r="G73" s="1">
        <f t="shared" ref="G73:Q73" si="46">+$E$73/12</f>
        <v>171.61749999999998</v>
      </c>
      <c r="H73" s="1">
        <f t="shared" si="46"/>
        <v>171.61749999999998</v>
      </c>
      <c r="I73" s="1">
        <f t="shared" si="46"/>
        <v>171.61749999999998</v>
      </c>
      <c r="J73" s="1">
        <f t="shared" si="46"/>
        <v>171.61749999999998</v>
      </c>
      <c r="K73" s="1">
        <f t="shared" si="46"/>
        <v>171.61749999999998</v>
      </c>
      <c r="L73" s="1">
        <f t="shared" si="46"/>
        <v>171.61749999999998</v>
      </c>
      <c r="M73" s="1">
        <f t="shared" si="46"/>
        <v>171.61749999999998</v>
      </c>
      <c r="N73" s="1">
        <f t="shared" si="46"/>
        <v>171.61749999999998</v>
      </c>
      <c r="O73" s="1">
        <f t="shared" si="46"/>
        <v>171.61749999999998</v>
      </c>
      <c r="P73" s="1">
        <f t="shared" si="46"/>
        <v>171.61749999999998</v>
      </c>
      <c r="Q73" s="1">
        <f t="shared" si="46"/>
        <v>171.61749999999998</v>
      </c>
    </row>
    <row r="74" spans="2:17" ht="15" x14ac:dyDescent="0.35">
      <c r="C74" s="29" t="s">
        <v>269</v>
      </c>
      <c r="E74" s="4">
        <f>+Annual!Z142</f>
        <v>945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f>+E74*0.7</f>
        <v>661.5</v>
      </c>
      <c r="M74" s="4">
        <f>+E74*0.3</f>
        <v>283.5</v>
      </c>
      <c r="N74" s="4">
        <v>0</v>
      </c>
      <c r="O74" s="4">
        <v>0</v>
      </c>
      <c r="P74" s="4">
        <v>0</v>
      </c>
      <c r="Q74" s="4">
        <v>0</v>
      </c>
    </row>
    <row r="75" spans="2:17" ht="15" x14ac:dyDescent="0.35">
      <c r="D75" s="5" t="s">
        <v>28</v>
      </c>
      <c r="E75" s="39">
        <f>SUBTOTAL(9,E70:E74)</f>
        <v>57124.160000000003</v>
      </c>
      <c r="F75" s="39">
        <f>SUBTOTAL(9,F70:F74)</f>
        <v>4604.1633333333339</v>
      </c>
      <c r="G75" s="39">
        <f t="shared" ref="G75:Q75" si="47">SUBTOTAL(9,G70:G74)</f>
        <v>4604.1633333333339</v>
      </c>
      <c r="H75" s="39">
        <f t="shared" si="47"/>
        <v>4604.1633333333339</v>
      </c>
      <c r="I75" s="39">
        <f t="shared" si="47"/>
        <v>4708.6983333333337</v>
      </c>
      <c r="J75" s="39">
        <f t="shared" si="47"/>
        <v>4708.6983333333337</v>
      </c>
      <c r="K75" s="39">
        <f t="shared" si="47"/>
        <v>4708.6983333333337</v>
      </c>
      <c r="L75" s="39">
        <f t="shared" si="47"/>
        <v>5368.1983333333337</v>
      </c>
      <c r="M75" s="39">
        <f t="shared" si="47"/>
        <v>4990.1983333333337</v>
      </c>
      <c r="N75" s="39">
        <f t="shared" si="47"/>
        <v>4706.6983333333337</v>
      </c>
      <c r="O75" s="39">
        <f t="shared" si="47"/>
        <v>4706.6983333333337</v>
      </c>
      <c r="P75" s="39">
        <f t="shared" si="47"/>
        <v>4706.6983333333337</v>
      </c>
      <c r="Q75" s="39">
        <f t="shared" si="47"/>
        <v>4706.6983333333337</v>
      </c>
    </row>
    <row r="76" spans="2:17" x14ac:dyDescent="0.2">
      <c r="C76" t="s">
        <v>12</v>
      </c>
      <c r="E76" s="1">
        <f>+Annual!Z144</f>
        <v>2500</v>
      </c>
      <c r="F76" s="1">
        <f>+$E$76/12</f>
        <v>208.33333333333334</v>
      </c>
      <c r="G76" s="1">
        <f t="shared" ref="G76:Q76" si="48">+$E$76/12</f>
        <v>208.33333333333334</v>
      </c>
      <c r="H76" s="1">
        <f t="shared" si="48"/>
        <v>208.33333333333334</v>
      </c>
      <c r="I76" s="1">
        <f t="shared" si="48"/>
        <v>208.33333333333334</v>
      </c>
      <c r="J76" s="1">
        <f t="shared" si="48"/>
        <v>208.33333333333334</v>
      </c>
      <c r="K76" s="1">
        <f t="shared" si="48"/>
        <v>208.33333333333334</v>
      </c>
      <c r="L76" s="1">
        <f t="shared" si="48"/>
        <v>208.33333333333334</v>
      </c>
      <c r="M76" s="1">
        <f t="shared" si="48"/>
        <v>208.33333333333334</v>
      </c>
      <c r="N76" s="1">
        <f t="shared" si="48"/>
        <v>208.33333333333334</v>
      </c>
      <c r="O76" s="1">
        <f t="shared" si="48"/>
        <v>208.33333333333334</v>
      </c>
      <c r="P76" s="1">
        <f t="shared" si="48"/>
        <v>208.33333333333334</v>
      </c>
      <c r="Q76" s="1">
        <f t="shared" si="48"/>
        <v>208.33333333333334</v>
      </c>
    </row>
    <row r="77" spans="2:17" x14ac:dyDescent="0.2">
      <c r="C77" t="s">
        <v>29</v>
      </c>
      <c r="E77" s="1">
        <f>+Annual!Z145</f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</row>
    <row r="78" spans="2:17" x14ac:dyDescent="0.2">
      <c r="C78" t="s">
        <v>30</v>
      </c>
      <c r="E78" s="1">
        <f>+Annual!Z146</f>
        <v>3000</v>
      </c>
      <c r="F78" s="1">
        <f>+$E$78/12</f>
        <v>250</v>
      </c>
      <c r="G78" s="1">
        <f t="shared" ref="G78:Q78" si="49">+$E$78/12</f>
        <v>250</v>
      </c>
      <c r="H78" s="1">
        <f t="shared" si="49"/>
        <v>250</v>
      </c>
      <c r="I78" s="1">
        <f t="shared" si="49"/>
        <v>250</v>
      </c>
      <c r="J78" s="1">
        <f t="shared" si="49"/>
        <v>250</v>
      </c>
      <c r="K78" s="1">
        <f t="shared" si="49"/>
        <v>250</v>
      </c>
      <c r="L78" s="1">
        <f t="shared" si="49"/>
        <v>250</v>
      </c>
      <c r="M78" s="1">
        <f t="shared" si="49"/>
        <v>250</v>
      </c>
      <c r="N78" s="1">
        <f t="shared" si="49"/>
        <v>250</v>
      </c>
      <c r="O78" s="1">
        <f t="shared" si="49"/>
        <v>250</v>
      </c>
      <c r="P78" s="1">
        <f t="shared" si="49"/>
        <v>250</v>
      </c>
      <c r="Q78" s="1">
        <f t="shared" si="49"/>
        <v>250</v>
      </c>
    </row>
    <row r="79" spans="2:17" x14ac:dyDescent="0.2">
      <c r="C79" t="s">
        <v>250</v>
      </c>
      <c r="E79" s="1">
        <f>+Annual!Z147</f>
        <v>1000</v>
      </c>
      <c r="F79" s="1">
        <f>+$E$79/12</f>
        <v>83.333333333333329</v>
      </c>
      <c r="G79" s="1">
        <f t="shared" ref="G79:Q79" si="50">+$E$79/12</f>
        <v>83.333333333333329</v>
      </c>
      <c r="H79" s="1">
        <f t="shared" si="50"/>
        <v>83.333333333333329</v>
      </c>
      <c r="I79" s="1">
        <f t="shared" si="50"/>
        <v>83.333333333333329</v>
      </c>
      <c r="J79" s="1">
        <f t="shared" si="50"/>
        <v>83.333333333333329</v>
      </c>
      <c r="K79" s="1">
        <f t="shared" si="50"/>
        <v>83.333333333333329</v>
      </c>
      <c r="L79" s="1">
        <f t="shared" si="50"/>
        <v>83.333333333333329</v>
      </c>
      <c r="M79" s="1">
        <f t="shared" si="50"/>
        <v>83.333333333333329</v>
      </c>
      <c r="N79" s="1">
        <f t="shared" si="50"/>
        <v>83.333333333333329</v>
      </c>
      <c r="O79" s="1">
        <f t="shared" si="50"/>
        <v>83.333333333333329</v>
      </c>
      <c r="P79" s="1">
        <f t="shared" si="50"/>
        <v>83.333333333333329</v>
      </c>
      <c r="Q79" s="1">
        <f t="shared" si="50"/>
        <v>83.333333333333329</v>
      </c>
    </row>
    <row r="80" spans="2:17" x14ac:dyDescent="0.2">
      <c r="C80" s="29" t="s">
        <v>278</v>
      </c>
      <c r="E80" s="1">
        <f>+Annual!Z148</f>
        <v>10000</v>
      </c>
      <c r="F80" s="1">
        <f>+$E$80/12</f>
        <v>833.33333333333337</v>
      </c>
      <c r="G80" s="1">
        <f t="shared" ref="G80:Q80" si="51">+$E$80/12</f>
        <v>833.33333333333337</v>
      </c>
      <c r="H80" s="1">
        <f t="shared" si="51"/>
        <v>833.33333333333337</v>
      </c>
      <c r="I80" s="1">
        <f t="shared" si="51"/>
        <v>833.33333333333337</v>
      </c>
      <c r="J80" s="1">
        <f t="shared" si="51"/>
        <v>833.33333333333337</v>
      </c>
      <c r="K80" s="1">
        <f t="shared" si="51"/>
        <v>833.33333333333337</v>
      </c>
      <c r="L80" s="1">
        <f t="shared" si="51"/>
        <v>833.33333333333337</v>
      </c>
      <c r="M80" s="1">
        <f t="shared" si="51"/>
        <v>833.33333333333337</v>
      </c>
      <c r="N80" s="1">
        <f t="shared" si="51"/>
        <v>833.33333333333337</v>
      </c>
      <c r="O80" s="1">
        <f t="shared" si="51"/>
        <v>833.33333333333337</v>
      </c>
      <c r="P80" s="1">
        <f t="shared" si="51"/>
        <v>833.33333333333337</v>
      </c>
      <c r="Q80" s="1">
        <f t="shared" si="51"/>
        <v>833.33333333333337</v>
      </c>
    </row>
    <row r="81" spans="1:17" x14ac:dyDescent="0.2">
      <c r="C81" t="s">
        <v>13</v>
      </c>
      <c r="E81" s="1">
        <f>+Annual!Z149</f>
        <v>10000</v>
      </c>
      <c r="F81" s="1">
        <f>+$E$81/12</f>
        <v>833.33333333333337</v>
      </c>
      <c r="G81" s="1">
        <f t="shared" ref="G81:Q81" si="52">+$E$81/12</f>
        <v>833.33333333333337</v>
      </c>
      <c r="H81" s="1">
        <f t="shared" si="52"/>
        <v>833.33333333333337</v>
      </c>
      <c r="I81" s="1">
        <f t="shared" si="52"/>
        <v>833.33333333333337</v>
      </c>
      <c r="J81" s="1">
        <f t="shared" si="52"/>
        <v>833.33333333333337</v>
      </c>
      <c r="K81" s="1">
        <f t="shared" si="52"/>
        <v>833.33333333333337</v>
      </c>
      <c r="L81" s="1">
        <f t="shared" si="52"/>
        <v>833.33333333333337</v>
      </c>
      <c r="M81" s="1">
        <f t="shared" si="52"/>
        <v>833.33333333333337</v>
      </c>
      <c r="N81" s="1">
        <f t="shared" si="52"/>
        <v>833.33333333333337</v>
      </c>
      <c r="O81" s="1">
        <f t="shared" si="52"/>
        <v>833.33333333333337</v>
      </c>
      <c r="P81" s="1">
        <f t="shared" si="52"/>
        <v>833.33333333333337</v>
      </c>
      <c r="Q81" s="1">
        <f t="shared" si="52"/>
        <v>833.33333333333337</v>
      </c>
    </row>
    <row r="82" spans="1:17" x14ac:dyDescent="0.2">
      <c r="C82" t="s">
        <v>15</v>
      </c>
      <c r="E82" s="1">
        <f>+Annual!Z150</f>
        <v>2500</v>
      </c>
      <c r="F82" s="1">
        <f>+$E$82/12</f>
        <v>208.33333333333334</v>
      </c>
      <c r="G82" s="1">
        <f t="shared" ref="G82:Q82" si="53">+$E$82/12</f>
        <v>208.33333333333334</v>
      </c>
      <c r="H82" s="1">
        <f t="shared" si="53"/>
        <v>208.33333333333334</v>
      </c>
      <c r="I82" s="1">
        <f t="shared" si="53"/>
        <v>208.33333333333334</v>
      </c>
      <c r="J82" s="1">
        <f t="shared" si="53"/>
        <v>208.33333333333334</v>
      </c>
      <c r="K82" s="1">
        <f t="shared" si="53"/>
        <v>208.33333333333334</v>
      </c>
      <c r="L82" s="1">
        <f t="shared" si="53"/>
        <v>208.33333333333334</v>
      </c>
      <c r="M82" s="1">
        <f t="shared" si="53"/>
        <v>208.33333333333334</v>
      </c>
      <c r="N82" s="1">
        <f t="shared" si="53"/>
        <v>208.33333333333334</v>
      </c>
      <c r="O82" s="1">
        <f t="shared" si="53"/>
        <v>208.33333333333334</v>
      </c>
      <c r="P82" s="1">
        <f t="shared" si="53"/>
        <v>208.33333333333334</v>
      </c>
      <c r="Q82" s="1">
        <f t="shared" si="53"/>
        <v>208.33333333333334</v>
      </c>
    </row>
    <row r="83" spans="1:17" ht="15" x14ac:dyDescent="0.35">
      <c r="C83" t="s">
        <v>16</v>
      </c>
      <c r="E83" s="4">
        <f>+Annual!Z151</f>
        <v>6000</v>
      </c>
      <c r="F83" s="4">
        <v>3000</v>
      </c>
      <c r="G83" s="4">
        <v>3000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</row>
    <row r="84" spans="1:17" ht="15" x14ac:dyDescent="0.35">
      <c r="B84" s="5"/>
      <c r="C84" s="5"/>
      <c r="D84" s="5" t="s">
        <v>31</v>
      </c>
      <c r="E84" s="6">
        <f>SUBTOTAL(9,E76:E83)</f>
        <v>35000</v>
      </c>
      <c r="F84" s="6">
        <f>SUBTOTAL(9,F76:F83)</f>
        <v>5416.666666666667</v>
      </c>
      <c r="G84" s="6">
        <f t="shared" ref="G84:Q84" si="54">SUBTOTAL(9,G76:G83)</f>
        <v>5416.666666666667</v>
      </c>
      <c r="H84" s="6">
        <f t="shared" si="54"/>
        <v>2416.666666666667</v>
      </c>
      <c r="I84" s="6">
        <f t="shared" si="54"/>
        <v>2416.666666666667</v>
      </c>
      <c r="J84" s="6">
        <f t="shared" si="54"/>
        <v>2416.666666666667</v>
      </c>
      <c r="K84" s="6">
        <f t="shared" si="54"/>
        <v>2416.666666666667</v>
      </c>
      <c r="L84" s="6">
        <f t="shared" si="54"/>
        <v>2416.666666666667</v>
      </c>
      <c r="M84" s="6">
        <f t="shared" si="54"/>
        <v>2416.666666666667</v>
      </c>
      <c r="N84" s="6">
        <f t="shared" si="54"/>
        <v>2416.666666666667</v>
      </c>
      <c r="O84" s="6">
        <f t="shared" si="54"/>
        <v>2416.666666666667</v>
      </c>
      <c r="P84" s="6">
        <f t="shared" si="54"/>
        <v>2416.666666666667</v>
      </c>
      <c r="Q84" s="6">
        <f t="shared" si="54"/>
        <v>2416.666666666667</v>
      </c>
    </row>
    <row r="85" spans="1:17" ht="15" x14ac:dyDescent="0.35">
      <c r="B85" s="5" t="s">
        <v>32</v>
      </c>
      <c r="C85" s="5"/>
      <c r="D85" s="5"/>
      <c r="E85" s="6">
        <f t="shared" ref="E85" si="55">SUM(E84,E75,E69)</f>
        <v>443624.16000000003</v>
      </c>
      <c r="F85" s="6">
        <f t="shared" ref="F85:Q85" si="56">SUM(F84,F75,F69)</f>
        <v>39312.496666666673</v>
      </c>
      <c r="G85" s="6">
        <f t="shared" si="56"/>
        <v>39312.496666666673</v>
      </c>
      <c r="H85" s="6">
        <f t="shared" si="56"/>
        <v>36312.496666666666</v>
      </c>
      <c r="I85" s="6">
        <f t="shared" si="56"/>
        <v>36417.031666666669</v>
      </c>
      <c r="J85" s="6">
        <f t="shared" si="56"/>
        <v>36417.031666666669</v>
      </c>
      <c r="K85" s="6">
        <f t="shared" si="56"/>
        <v>36417.031666666669</v>
      </c>
      <c r="L85" s="6">
        <f t="shared" si="56"/>
        <v>37076.531666666669</v>
      </c>
      <c r="M85" s="6">
        <f t="shared" si="56"/>
        <v>36698.531666666669</v>
      </c>
      <c r="N85" s="6">
        <f t="shared" si="56"/>
        <v>36415.031666666669</v>
      </c>
      <c r="O85" s="6">
        <f t="shared" si="56"/>
        <v>36415.031666666669</v>
      </c>
      <c r="P85" s="6">
        <f t="shared" si="56"/>
        <v>36415.031666666669</v>
      </c>
      <c r="Q85" s="6">
        <f t="shared" si="56"/>
        <v>36415.031666666669</v>
      </c>
    </row>
    <row r="86" spans="1:17" x14ac:dyDescent="0.2">
      <c r="F86" s="1"/>
    </row>
    <row r="87" spans="1:17" x14ac:dyDescent="0.2">
      <c r="B87" s="5" t="s">
        <v>50</v>
      </c>
      <c r="F87" s="1"/>
    </row>
    <row r="88" spans="1:17" x14ac:dyDescent="0.2">
      <c r="B88" s="5"/>
      <c r="C88" t="s">
        <v>33</v>
      </c>
      <c r="E88" s="1">
        <f>+Annual!Z156</f>
        <v>847292</v>
      </c>
      <c r="F88" s="1">
        <f>+$E$88/12</f>
        <v>70607.666666666672</v>
      </c>
      <c r="G88" s="1">
        <f t="shared" ref="G88:Q88" si="57">+$E$88/12</f>
        <v>70607.666666666672</v>
      </c>
      <c r="H88" s="1">
        <f t="shared" si="57"/>
        <v>70607.666666666672</v>
      </c>
      <c r="I88" s="1">
        <f t="shared" si="57"/>
        <v>70607.666666666672</v>
      </c>
      <c r="J88" s="1">
        <f t="shared" si="57"/>
        <v>70607.666666666672</v>
      </c>
      <c r="K88" s="1">
        <f t="shared" si="57"/>
        <v>70607.666666666672</v>
      </c>
      <c r="L88" s="1">
        <f t="shared" si="57"/>
        <v>70607.666666666672</v>
      </c>
      <c r="M88" s="1">
        <f t="shared" si="57"/>
        <v>70607.666666666672</v>
      </c>
      <c r="N88" s="1">
        <f t="shared" si="57"/>
        <v>70607.666666666672</v>
      </c>
      <c r="O88" s="1">
        <f t="shared" si="57"/>
        <v>70607.666666666672</v>
      </c>
      <c r="P88" s="1">
        <f t="shared" si="57"/>
        <v>70607.666666666672</v>
      </c>
      <c r="Q88" s="1">
        <f t="shared" si="57"/>
        <v>70607.666666666672</v>
      </c>
    </row>
    <row r="89" spans="1:17" ht="15" x14ac:dyDescent="0.35">
      <c r="B89" s="5"/>
      <c r="C89" s="29" t="s">
        <v>272</v>
      </c>
      <c r="E89" s="4">
        <f>+Annual!Z157</f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</row>
    <row r="90" spans="1:17" x14ac:dyDescent="0.2">
      <c r="B90" s="5"/>
      <c r="C90" t="s">
        <v>79</v>
      </c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1:17" ht="15" x14ac:dyDescent="0.35">
      <c r="B91" s="5" t="s">
        <v>77</v>
      </c>
      <c r="C91" s="5"/>
      <c r="D91" s="5"/>
      <c r="E91" s="6">
        <f>SUBTOTAL(9,E88:E89)</f>
        <v>847292</v>
      </c>
      <c r="F91" s="6">
        <f>SUBTOTAL(9,F88:F89)</f>
        <v>70607.666666666672</v>
      </c>
      <c r="G91" s="6">
        <f t="shared" ref="G91:Q91" si="58">SUBTOTAL(9,G88:G89)</f>
        <v>70607.666666666672</v>
      </c>
      <c r="H91" s="6">
        <f t="shared" si="58"/>
        <v>70607.666666666672</v>
      </c>
      <c r="I91" s="6">
        <f t="shared" si="58"/>
        <v>70607.666666666672</v>
      </c>
      <c r="J91" s="6">
        <f t="shared" si="58"/>
        <v>70607.666666666672</v>
      </c>
      <c r="K91" s="6">
        <f t="shared" si="58"/>
        <v>70607.666666666672</v>
      </c>
      <c r="L91" s="6">
        <f t="shared" si="58"/>
        <v>70607.666666666672</v>
      </c>
      <c r="M91" s="6">
        <f t="shared" si="58"/>
        <v>70607.666666666672</v>
      </c>
      <c r="N91" s="6">
        <f t="shared" si="58"/>
        <v>70607.666666666672</v>
      </c>
      <c r="O91" s="6">
        <f t="shared" si="58"/>
        <v>70607.666666666672</v>
      </c>
      <c r="P91" s="6">
        <f t="shared" si="58"/>
        <v>70607.666666666672</v>
      </c>
      <c r="Q91" s="6">
        <f t="shared" si="58"/>
        <v>70607.666666666672</v>
      </c>
    </row>
    <row r="92" spans="1:17" x14ac:dyDescent="0.2"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x14ac:dyDescent="0.2">
      <c r="A93" s="49"/>
      <c r="B93" s="49"/>
      <c r="C93" s="49" t="s">
        <v>46</v>
      </c>
      <c r="D93" s="49"/>
      <c r="E93" s="51">
        <f>71565-10000</f>
        <v>61565</v>
      </c>
      <c r="F93" s="51">
        <f>+$E$93/12</f>
        <v>5130.416666666667</v>
      </c>
      <c r="G93" s="51">
        <f t="shared" ref="G93:P93" si="59">+$E$93/12</f>
        <v>5130.416666666667</v>
      </c>
      <c r="H93" s="51">
        <f t="shared" si="59"/>
        <v>5130.416666666667</v>
      </c>
      <c r="I93" s="51">
        <f t="shared" si="59"/>
        <v>5130.416666666667</v>
      </c>
      <c r="J93" s="51">
        <f t="shared" si="59"/>
        <v>5130.416666666667</v>
      </c>
      <c r="K93" s="51">
        <f t="shared" si="59"/>
        <v>5130.416666666667</v>
      </c>
      <c r="L93" s="51">
        <f t="shared" si="59"/>
        <v>5130.416666666667</v>
      </c>
      <c r="M93" s="51">
        <f t="shared" si="59"/>
        <v>5130.416666666667</v>
      </c>
      <c r="N93" s="51">
        <f t="shared" si="59"/>
        <v>5130.416666666667</v>
      </c>
      <c r="O93" s="51">
        <f t="shared" si="59"/>
        <v>5130.416666666667</v>
      </c>
      <c r="P93" s="51">
        <f t="shared" si="59"/>
        <v>5130.416666666667</v>
      </c>
      <c r="Q93" s="51">
        <f>+$E$93/12-5</f>
        <v>5125.416666666667</v>
      </c>
    </row>
    <row r="94" spans="1:17" ht="15" x14ac:dyDescent="0.35">
      <c r="A94" s="49"/>
      <c r="B94" s="49"/>
      <c r="C94" s="49" t="s">
        <v>47</v>
      </c>
      <c r="D94" s="49"/>
      <c r="E94" s="52">
        <f>71565-10000</f>
        <v>61565</v>
      </c>
      <c r="F94" s="52">
        <f>+$E$94/12</f>
        <v>5130.416666666667</v>
      </c>
      <c r="G94" s="52">
        <f t="shared" ref="G94:P94" si="60">+$E$94/12</f>
        <v>5130.416666666667</v>
      </c>
      <c r="H94" s="52">
        <f t="shared" si="60"/>
        <v>5130.416666666667</v>
      </c>
      <c r="I94" s="52">
        <f t="shared" si="60"/>
        <v>5130.416666666667</v>
      </c>
      <c r="J94" s="52">
        <f t="shared" si="60"/>
        <v>5130.416666666667</v>
      </c>
      <c r="K94" s="52">
        <f t="shared" si="60"/>
        <v>5130.416666666667</v>
      </c>
      <c r="L94" s="52">
        <f t="shared" si="60"/>
        <v>5130.416666666667</v>
      </c>
      <c r="M94" s="52">
        <f t="shared" si="60"/>
        <v>5130.416666666667</v>
      </c>
      <c r="N94" s="52">
        <f t="shared" si="60"/>
        <v>5130.416666666667</v>
      </c>
      <c r="O94" s="52">
        <f t="shared" si="60"/>
        <v>5130.416666666667</v>
      </c>
      <c r="P94" s="52">
        <f t="shared" si="60"/>
        <v>5130.416666666667</v>
      </c>
      <c r="Q94" s="52">
        <f>+$E$94/12-6</f>
        <v>5124.416666666667</v>
      </c>
    </row>
    <row r="95" spans="1:17" ht="15" x14ac:dyDescent="0.35">
      <c r="B95" s="5"/>
      <c r="C95" s="5"/>
      <c r="D95" s="5" t="s">
        <v>204</v>
      </c>
      <c r="E95" s="6">
        <f>SUM(E93:E94)+1</f>
        <v>123131</v>
      </c>
      <c r="F95" s="6">
        <f>SUM(F93:F94)+1</f>
        <v>10261.833333333334</v>
      </c>
      <c r="G95" s="6">
        <f t="shared" ref="G95:Q95" si="61">SUM(G93:G94)+1</f>
        <v>10261.833333333334</v>
      </c>
      <c r="H95" s="6">
        <f t="shared" si="61"/>
        <v>10261.833333333334</v>
      </c>
      <c r="I95" s="6">
        <f t="shared" si="61"/>
        <v>10261.833333333334</v>
      </c>
      <c r="J95" s="6">
        <f t="shared" si="61"/>
        <v>10261.833333333334</v>
      </c>
      <c r="K95" s="6">
        <f t="shared" si="61"/>
        <v>10261.833333333334</v>
      </c>
      <c r="L95" s="6">
        <f t="shared" si="61"/>
        <v>10261.833333333334</v>
      </c>
      <c r="M95" s="6">
        <f t="shared" si="61"/>
        <v>10261.833333333334</v>
      </c>
      <c r="N95" s="6">
        <f t="shared" si="61"/>
        <v>10261.833333333334</v>
      </c>
      <c r="O95" s="6">
        <f t="shared" si="61"/>
        <v>10261.833333333334</v>
      </c>
      <c r="P95" s="6">
        <f t="shared" si="61"/>
        <v>10261.833333333334</v>
      </c>
      <c r="Q95" s="6">
        <f t="shared" si="61"/>
        <v>10250.833333333334</v>
      </c>
    </row>
    <row r="96" spans="1:17" ht="15" x14ac:dyDescent="0.35">
      <c r="B96" s="5" t="s">
        <v>48</v>
      </c>
      <c r="C96" s="5"/>
      <c r="D96" s="5"/>
      <c r="E96" s="6">
        <f>E95</f>
        <v>123131</v>
      </c>
      <c r="F96" s="6">
        <f>F95</f>
        <v>10261.833333333334</v>
      </c>
      <c r="G96" s="6">
        <f t="shared" ref="G96:Q96" si="62">G95</f>
        <v>10261.833333333334</v>
      </c>
      <c r="H96" s="6">
        <f t="shared" si="62"/>
        <v>10261.833333333334</v>
      </c>
      <c r="I96" s="6">
        <f t="shared" si="62"/>
        <v>10261.833333333334</v>
      </c>
      <c r="J96" s="6">
        <f t="shared" si="62"/>
        <v>10261.833333333334</v>
      </c>
      <c r="K96" s="6">
        <f t="shared" si="62"/>
        <v>10261.833333333334</v>
      </c>
      <c r="L96" s="6">
        <f t="shared" si="62"/>
        <v>10261.833333333334</v>
      </c>
      <c r="M96" s="6">
        <f t="shared" si="62"/>
        <v>10261.833333333334</v>
      </c>
      <c r="N96" s="6">
        <f t="shared" si="62"/>
        <v>10261.833333333334</v>
      </c>
      <c r="O96" s="6">
        <f t="shared" si="62"/>
        <v>10261.833333333334</v>
      </c>
      <c r="P96" s="6">
        <f t="shared" si="62"/>
        <v>10261.833333333334</v>
      </c>
      <c r="Q96" s="6">
        <f t="shared" si="62"/>
        <v>10250.833333333334</v>
      </c>
    </row>
    <row r="97" spans="2:17" x14ac:dyDescent="0.2">
      <c r="B97" s="5"/>
      <c r="C97" s="5"/>
      <c r="D97" s="5"/>
      <c r="F97" s="1"/>
    </row>
    <row r="98" spans="2:17" x14ac:dyDescent="0.2">
      <c r="B98" s="5" t="s">
        <v>80</v>
      </c>
      <c r="F98" s="1"/>
    </row>
    <row r="99" spans="2:17" ht="15" x14ac:dyDescent="0.35">
      <c r="C99" s="36" t="s">
        <v>288</v>
      </c>
      <c r="D99" s="5"/>
      <c r="E99" s="4">
        <f>+Annual!Z182</f>
        <v>48000</v>
      </c>
      <c r="F99" s="4">
        <f>+$E$99/12</f>
        <v>4000</v>
      </c>
      <c r="G99" s="4">
        <f t="shared" ref="G99:Q99" si="63">+$E$99/12</f>
        <v>4000</v>
      </c>
      <c r="H99" s="4">
        <f t="shared" si="63"/>
        <v>4000</v>
      </c>
      <c r="I99" s="4">
        <f t="shared" si="63"/>
        <v>4000</v>
      </c>
      <c r="J99" s="4">
        <f t="shared" si="63"/>
        <v>4000</v>
      </c>
      <c r="K99" s="4">
        <f t="shared" si="63"/>
        <v>4000</v>
      </c>
      <c r="L99" s="4">
        <f t="shared" si="63"/>
        <v>4000</v>
      </c>
      <c r="M99" s="4">
        <f t="shared" si="63"/>
        <v>4000</v>
      </c>
      <c r="N99" s="4">
        <f t="shared" si="63"/>
        <v>4000</v>
      </c>
      <c r="O99" s="4">
        <f t="shared" si="63"/>
        <v>4000</v>
      </c>
      <c r="P99" s="4">
        <f t="shared" si="63"/>
        <v>4000</v>
      </c>
      <c r="Q99" s="4">
        <f t="shared" si="63"/>
        <v>4000</v>
      </c>
    </row>
    <row r="100" spans="2:17" x14ac:dyDescent="0.2">
      <c r="C100" s="5"/>
      <c r="D100" s="5" t="s">
        <v>148</v>
      </c>
      <c r="E100" s="8">
        <f>+E99</f>
        <v>48000</v>
      </c>
      <c r="F100" s="8">
        <f>+F99</f>
        <v>4000</v>
      </c>
      <c r="G100" s="8">
        <f t="shared" ref="G100:Q100" si="64">+G99</f>
        <v>4000</v>
      </c>
      <c r="H100" s="8">
        <f t="shared" si="64"/>
        <v>4000</v>
      </c>
      <c r="I100" s="8">
        <f t="shared" si="64"/>
        <v>4000</v>
      </c>
      <c r="J100" s="8">
        <f t="shared" si="64"/>
        <v>4000</v>
      </c>
      <c r="K100" s="8">
        <f t="shared" si="64"/>
        <v>4000</v>
      </c>
      <c r="L100" s="8">
        <f t="shared" si="64"/>
        <v>4000</v>
      </c>
      <c r="M100" s="8">
        <f t="shared" si="64"/>
        <v>4000</v>
      </c>
      <c r="N100" s="8">
        <f t="shared" si="64"/>
        <v>4000</v>
      </c>
      <c r="O100" s="8">
        <f t="shared" si="64"/>
        <v>4000</v>
      </c>
      <c r="P100" s="8">
        <f t="shared" si="64"/>
        <v>4000</v>
      </c>
      <c r="Q100" s="8">
        <f t="shared" si="64"/>
        <v>4000</v>
      </c>
    </row>
    <row r="101" spans="2:17" x14ac:dyDescent="0.2">
      <c r="C101" t="s">
        <v>7</v>
      </c>
      <c r="D101" s="5"/>
      <c r="E101" s="1">
        <f>+Annual!Z184</f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</row>
    <row r="102" spans="2:17" x14ac:dyDescent="0.2">
      <c r="C102" t="s">
        <v>8</v>
      </c>
      <c r="D102" s="5"/>
      <c r="E102" s="1">
        <f>+Annual!Z185</f>
        <v>3672</v>
      </c>
      <c r="F102" s="1">
        <f>+$E$102/12</f>
        <v>306</v>
      </c>
      <c r="G102" s="1">
        <f t="shared" ref="G102:Q102" si="65">+$E$102/12</f>
        <v>306</v>
      </c>
      <c r="H102" s="1">
        <f t="shared" si="65"/>
        <v>306</v>
      </c>
      <c r="I102" s="1">
        <f t="shared" si="65"/>
        <v>306</v>
      </c>
      <c r="J102" s="1">
        <f t="shared" si="65"/>
        <v>306</v>
      </c>
      <c r="K102" s="1">
        <f t="shared" si="65"/>
        <v>306</v>
      </c>
      <c r="L102" s="1">
        <f t="shared" si="65"/>
        <v>306</v>
      </c>
      <c r="M102" s="1">
        <f t="shared" si="65"/>
        <v>306</v>
      </c>
      <c r="N102" s="1">
        <f t="shared" si="65"/>
        <v>306</v>
      </c>
      <c r="O102" s="1">
        <f t="shared" si="65"/>
        <v>306</v>
      </c>
      <c r="P102" s="1">
        <f t="shared" si="65"/>
        <v>306</v>
      </c>
      <c r="Q102" s="1">
        <f t="shared" si="65"/>
        <v>306</v>
      </c>
    </row>
    <row r="103" spans="2:17" x14ac:dyDescent="0.2">
      <c r="C103" t="s">
        <v>9</v>
      </c>
      <c r="D103" s="5"/>
      <c r="E103" s="1">
        <f>+Annual!Z186</f>
        <v>100</v>
      </c>
      <c r="F103" s="1">
        <f>+$E103*0.08</f>
        <v>8</v>
      </c>
      <c r="G103" s="1">
        <f t="shared" ref="G103:H103" si="66">+$E103*0.08</f>
        <v>8</v>
      </c>
      <c r="H103" s="1">
        <f t="shared" si="66"/>
        <v>8</v>
      </c>
      <c r="I103" s="1">
        <f>+$E103*0.0845</f>
        <v>8.4500000000000011</v>
      </c>
      <c r="J103" s="1">
        <f t="shared" ref="J103:Q103" si="67">+$E103*0.0845</f>
        <v>8.4500000000000011</v>
      </c>
      <c r="K103" s="1">
        <f t="shared" si="67"/>
        <v>8.4500000000000011</v>
      </c>
      <c r="L103" s="1">
        <f t="shared" si="67"/>
        <v>8.4500000000000011</v>
      </c>
      <c r="M103" s="1">
        <f t="shared" si="67"/>
        <v>8.4500000000000011</v>
      </c>
      <c r="N103" s="1">
        <f t="shared" si="67"/>
        <v>8.4500000000000011</v>
      </c>
      <c r="O103" s="1">
        <f t="shared" si="67"/>
        <v>8.4500000000000011</v>
      </c>
      <c r="P103" s="1">
        <f t="shared" si="67"/>
        <v>8.4500000000000011</v>
      </c>
      <c r="Q103" s="1">
        <f t="shared" si="67"/>
        <v>8.4500000000000011</v>
      </c>
    </row>
    <row r="104" spans="2:17" x14ac:dyDescent="0.2">
      <c r="C104" t="s">
        <v>10</v>
      </c>
      <c r="D104" s="5"/>
      <c r="E104" s="1">
        <f>+Annual!Z187</f>
        <v>2500</v>
      </c>
      <c r="F104" s="1">
        <f>+$E$104/12</f>
        <v>208.33333333333334</v>
      </c>
      <c r="G104" s="1">
        <f t="shared" ref="G104:Q104" si="68">+$E$104/12</f>
        <v>208.33333333333334</v>
      </c>
      <c r="H104" s="1">
        <f t="shared" si="68"/>
        <v>208.33333333333334</v>
      </c>
      <c r="I104" s="1">
        <f t="shared" si="68"/>
        <v>208.33333333333334</v>
      </c>
      <c r="J104" s="1">
        <f t="shared" si="68"/>
        <v>208.33333333333334</v>
      </c>
      <c r="K104" s="1">
        <f t="shared" si="68"/>
        <v>208.33333333333334</v>
      </c>
      <c r="L104" s="1">
        <f t="shared" si="68"/>
        <v>208.33333333333334</v>
      </c>
      <c r="M104" s="1">
        <f t="shared" si="68"/>
        <v>208.33333333333334</v>
      </c>
      <c r="N104" s="1">
        <f t="shared" si="68"/>
        <v>208.33333333333334</v>
      </c>
      <c r="O104" s="1">
        <f t="shared" si="68"/>
        <v>208.33333333333334</v>
      </c>
      <c r="P104" s="1">
        <f t="shared" si="68"/>
        <v>208.33333333333334</v>
      </c>
      <c r="Q104" s="1">
        <f t="shared" si="68"/>
        <v>208.33333333333334</v>
      </c>
    </row>
    <row r="105" spans="2:17" ht="15" x14ac:dyDescent="0.35">
      <c r="C105" s="29" t="s">
        <v>269</v>
      </c>
      <c r="D105" s="5"/>
      <c r="E105" s="4">
        <f>+Annual!Z188</f>
        <v>294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f>+E105*0.5</f>
        <v>147</v>
      </c>
      <c r="M105" s="4">
        <f>+E105*0.5</f>
        <v>147</v>
      </c>
      <c r="N105" s="4">
        <v>0</v>
      </c>
      <c r="O105" s="4">
        <v>0</v>
      </c>
      <c r="P105" s="4">
        <v>0</v>
      </c>
      <c r="Q105" s="4">
        <v>0</v>
      </c>
    </row>
    <row r="106" spans="2:17" ht="15" x14ac:dyDescent="0.35">
      <c r="D106" s="5" t="s">
        <v>149</v>
      </c>
      <c r="E106" s="6">
        <f>SUM(E101:E105)</f>
        <v>6566</v>
      </c>
      <c r="F106" s="6">
        <f>SUM(F101:F105)</f>
        <v>522.33333333333337</v>
      </c>
      <c r="G106" s="6">
        <f t="shared" ref="G106:Q106" si="69">SUM(G101:G105)</f>
        <v>522.33333333333337</v>
      </c>
      <c r="H106" s="6">
        <f t="shared" si="69"/>
        <v>522.33333333333337</v>
      </c>
      <c r="I106" s="6">
        <f t="shared" si="69"/>
        <v>522.7833333333333</v>
      </c>
      <c r="J106" s="6">
        <f t="shared" si="69"/>
        <v>522.7833333333333</v>
      </c>
      <c r="K106" s="6">
        <f t="shared" si="69"/>
        <v>522.7833333333333</v>
      </c>
      <c r="L106" s="6">
        <f t="shared" si="69"/>
        <v>669.7833333333333</v>
      </c>
      <c r="M106" s="6">
        <f t="shared" si="69"/>
        <v>669.7833333333333</v>
      </c>
      <c r="N106" s="6">
        <f t="shared" si="69"/>
        <v>522.7833333333333</v>
      </c>
      <c r="O106" s="6">
        <f t="shared" si="69"/>
        <v>522.7833333333333</v>
      </c>
      <c r="P106" s="6">
        <f t="shared" si="69"/>
        <v>522.7833333333333</v>
      </c>
      <c r="Q106" s="6">
        <f t="shared" si="69"/>
        <v>522.7833333333333</v>
      </c>
    </row>
    <row r="107" spans="2:17" ht="15" x14ac:dyDescent="0.35">
      <c r="C107" s="36" t="s">
        <v>304</v>
      </c>
      <c r="D107" s="5"/>
      <c r="E107" s="6">
        <v>2000</v>
      </c>
      <c r="F107" s="6">
        <v>0</v>
      </c>
      <c r="G107" s="6">
        <f>+$E$107/8</f>
        <v>250</v>
      </c>
      <c r="H107" s="6">
        <f t="shared" ref="H107:N107" si="70">+$E$107/8</f>
        <v>250</v>
      </c>
      <c r="I107" s="6">
        <f t="shared" si="70"/>
        <v>250</v>
      </c>
      <c r="J107" s="6">
        <f t="shared" si="70"/>
        <v>250</v>
      </c>
      <c r="K107" s="6">
        <f t="shared" si="70"/>
        <v>250</v>
      </c>
      <c r="L107" s="6">
        <f t="shared" si="70"/>
        <v>250</v>
      </c>
      <c r="M107" s="6">
        <f t="shared" si="70"/>
        <v>250</v>
      </c>
      <c r="N107" s="6">
        <f t="shared" si="70"/>
        <v>250</v>
      </c>
      <c r="O107" s="6">
        <v>0</v>
      </c>
      <c r="P107" s="6">
        <v>0</v>
      </c>
      <c r="Q107" s="6">
        <v>0</v>
      </c>
    </row>
    <row r="108" spans="2:17" x14ac:dyDescent="0.2">
      <c r="B108" s="5" t="s">
        <v>151</v>
      </c>
      <c r="D108" s="5"/>
      <c r="E108" s="8">
        <f t="shared" ref="E108:F108" si="71">E100+E106+E107</f>
        <v>56566</v>
      </c>
      <c r="F108" s="8">
        <f t="shared" si="71"/>
        <v>4522.333333333333</v>
      </c>
      <c r="G108" s="8">
        <f t="shared" ref="G108:Q108" si="72">G100+G106+G107</f>
        <v>4772.333333333333</v>
      </c>
      <c r="H108" s="8">
        <f t="shared" si="72"/>
        <v>4772.333333333333</v>
      </c>
      <c r="I108" s="8">
        <f t="shared" si="72"/>
        <v>4772.7833333333328</v>
      </c>
      <c r="J108" s="8">
        <f t="shared" si="72"/>
        <v>4772.7833333333328</v>
      </c>
      <c r="K108" s="8">
        <f t="shared" si="72"/>
        <v>4772.7833333333328</v>
      </c>
      <c r="L108" s="8">
        <f t="shared" si="72"/>
        <v>4919.7833333333328</v>
      </c>
      <c r="M108" s="8">
        <f t="shared" si="72"/>
        <v>4919.7833333333328</v>
      </c>
      <c r="N108" s="8">
        <f t="shared" si="72"/>
        <v>4772.7833333333328</v>
      </c>
      <c r="O108" s="8">
        <f t="shared" si="72"/>
        <v>4522.7833333333328</v>
      </c>
      <c r="P108" s="8">
        <f t="shared" si="72"/>
        <v>4522.7833333333328</v>
      </c>
      <c r="Q108" s="8">
        <f t="shared" si="72"/>
        <v>4522.7833333333328</v>
      </c>
    </row>
    <row r="109" spans="2:17" x14ac:dyDescent="0.2">
      <c r="B109" s="5"/>
      <c r="C109" s="5"/>
      <c r="D109" s="5"/>
      <c r="F109" s="1"/>
    </row>
    <row r="110" spans="2:17" x14ac:dyDescent="0.2">
      <c r="B110" s="5" t="s">
        <v>35</v>
      </c>
      <c r="F110" s="1"/>
    </row>
    <row r="111" spans="2:17" x14ac:dyDescent="0.2">
      <c r="C111" s="36" t="s">
        <v>11</v>
      </c>
      <c r="D111" s="5"/>
      <c r="E111" s="8">
        <f>+Annual!Z196</f>
        <v>83580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f>+E111/12*10</f>
        <v>69650</v>
      </c>
      <c r="P111" s="8">
        <f t="shared" ref="P111:Q111" si="73">+$E$111/12</f>
        <v>6965</v>
      </c>
      <c r="Q111" s="8">
        <f t="shared" si="73"/>
        <v>6965</v>
      </c>
    </row>
    <row r="112" spans="2:17" x14ac:dyDescent="0.2">
      <c r="C112" s="5"/>
      <c r="D112" s="5"/>
      <c r="F112" s="1"/>
    </row>
    <row r="113" spans="2:17" x14ac:dyDescent="0.2">
      <c r="B113" s="5" t="s">
        <v>301</v>
      </c>
      <c r="C113" s="5"/>
      <c r="D113" s="5"/>
      <c r="F113" s="1"/>
    </row>
    <row r="114" spans="2:17" ht="15" x14ac:dyDescent="0.35">
      <c r="C114" s="36" t="s">
        <v>305</v>
      </c>
      <c r="D114" s="5"/>
      <c r="E114" s="4">
        <f>+Annual!Z199</f>
        <v>40000</v>
      </c>
      <c r="F114" s="4">
        <f>+$E$114/12</f>
        <v>3333.3333333333335</v>
      </c>
      <c r="G114" s="4">
        <f t="shared" ref="G114:Q114" si="74">+$E$114/12</f>
        <v>3333.3333333333335</v>
      </c>
      <c r="H114" s="4">
        <f t="shared" si="74"/>
        <v>3333.3333333333335</v>
      </c>
      <c r="I114" s="4">
        <f t="shared" si="74"/>
        <v>3333.3333333333335</v>
      </c>
      <c r="J114" s="4">
        <f t="shared" si="74"/>
        <v>3333.3333333333335</v>
      </c>
      <c r="K114" s="4">
        <f t="shared" si="74"/>
        <v>3333.3333333333335</v>
      </c>
      <c r="L114" s="4">
        <f t="shared" si="74"/>
        <v>3333.3333333333335</v>
      </c>
      <c r="M114" s="4">
        <f t="shared" si="74"/>
        <v>3333.3333333333335</v>
      </c>
      <c r="N114" s="4">
        <f t="shared" si="74"/>
        <v>3333.3333333333335</v>
      </c>
      <c r="O114" s="4">
        <f t="shared" si="74"/>
        <v>3333.3333333333335</v>
      </c>
      <c r="P114" s="4">
        <f t="shared" si="74"/>
        <v>3333.3333333333335</v>
      </c>
      <c r="Q114" s="4">
        <f t="shared" si="74"/>
        <v>3333.3333333333335</v>
      </c>
    </row>
    <row r="115" spans="2:17" x14ac:dyDescent="0.2">
      <c r="C115" s="36"/>
      <c r="D115" s="5" t="s">
        <v>303</v>
      </c>
      <c r="E115" s="8">
        <f>SUBTOTAL(9,E114)</f>
        <v>40000</v>
      </c>
      <c r="F115" s="8">
        <f>SUBTOTAL(9,F114)</f>
        <v>3333.3333333333335</v>
      </c>
      <c r="G115" s="8">
        <f t="shared" ref="G115:Q115" si="75">SUBTOTAL(9,G114)</f>
        <v>3333.3333333333335</v>
      </c>
      <c r="H115" s="8">
        <f t="shared" si="75"/>
        <v>3333.3333333333335</v>
      </c>
      <c r="I115" s="8">
        <f t="shared" si="75"/>
        <v>3333.3333333333335</v>
      </c>
      <c r="J115" s="8">
        <f t="shared" si="75"/>
        <v>3333.3333333333335</v>
      </c>
      <c r="K115" s="8">
        <f t="shared" si="75"/>
        <v>3333.3333333333335</v>
      </c>
      <c r="L115" s="8">
        <f t="shared" si="75"/>
        <v>3333.3333333333335</v>
      </c>
      <c r="M115" s="8">
        <f t="shared" si="75"/>
        <v>3333.3333333333335</v>
      </c>
      <c r="N115" s="8">
        <f t="shared" si="75"/>
        <v>3333.3333333333335</v>
      </c>
      <c r="O115" s="8">
        <f t="shared" si="75"/>
        <v>3333.3333333333335</v>
      </c>
      <c r="P115" s="8">
        <f t="shared" si="75"/>
        <v>3333.3333333333335</v>
      </c>
      <c r="Q115" s="8">
        <f t="shared" si="75"/>
        <v>3333.3333333333335</v>
      </c>
    </row>
    <row r="116" spans="2:17" x14ac:dyDescent="0.2">
      <c r="C116" s="36" t="s">
        <v>10</v>
      </c>
      <c r="D116" s="5"/>
      <c r="E116" s="1">
        <f>+Annual!Z201</f>
        <v>128.25</v>
      </c>
      <c r="F116" s="1">
        <f>+$E$116/12</f>
        <v>10.6875</v>
      </c>
      <c r="G116" s="1">
        <f t="shared" ref="G116:Q116" si="76">+$E$116/12</f>
        <v>10.6875</v>
      </c>
      <c r="H116" s="1">
        <f t="shared" si="76"/>
        <v>10.6875</v>
      </c>
      <c r="I116" s="1">
        <f t="shared" si="76"/>
        <v>10.6875</v>
      </c>
      <c r="J116" s="1">
        <f t="shared" si="76"/>
        <v>10.6875</v>
      </c>
      <c r="K116" s="1">
        <f t="shared" si="76"/>
        <v>10.6875</v>
      </c>
      <c r="L116" s="1">
        <f t="shared" si="76"/>
        <v>10.6875</v>
      </c>
      <c r="M116" s="1">
        <f t="shared" si="76"/>
        <v>10.6875</v>
      </c>
      <c r="N116" s="1">
        <f t="shared" si="76"/>
        <v>10.6875</v>
      </c>
      <c r="O116" s="1">
        <f t="shared" si="76"/>
        <v>10.6875</v>
      </c>
      <c r="P116" s="1">
        <f t="shared" si="76"/>
        <v>10.6875</v>
      </c>
      <c r="Q116" s="1">
        <f t="shared" si="76"/>
        <v>10.6875</v>
      </c>
    </row>
    <row r="117" spans="2:17" x14ac:dyDescent="0.2">
      <c r="C117" s="36" t="s">
        <v>7</v>
      </c>
      <c r="D117" s="5"/>
      <c r="E117" s="1">
        <f>+Annual!Z202</f>
        <v>240</v>
      </c>
      <c r="F117" s="1">
        <f>+$E$117/12</f>
        <v>20</v>
      </c>
      <c r="G117" s="1">
        <f t="shared" ref="G117:Q117" si="77">+$E$117/12</f>
        <v>20</v>
      </c>
      <c r="H117" s="1">
        <f t="shared" si="77"/>
        <v>20</v>
      </c>
      <c r="I117" s="1">
        <f t="shared" si="77"/>
        <v>20</v>
      </c>
      <c r="J117" s="1">
        <f t="shared" si="77"/>
        <v>20</v>
      </c>
      <c r="K117" s="1">
        <f t="shared" si="77"/>
        <v>20</v>
      </c>
      <c r="L117" s="1">
        <f t="shared" si="77"/>
        <v>20</v>
      </c>
      <c r="M117" s="1">
        <f t="shared" si="77"/>
        <v>20</v>
      </c>
      <c r="N117" s="1">
        <f t="shared" si="77"/>
        <v>20</v>
      </c>
      <c r="O117" s="1">
        <f t="shared" si="77"/>
        <v>20</v>
      </c>
      <c r="P117" s="1">
        <f t="shared" si="77"/>
        <v>20</v>
      </c>
      <c r="Q117" s="1">
        <f t="shared" si="77"/>
        <v>20</v>
      </c>
    </row>
    <row r="118" spans="2:17" x14ac:dyDescent="0.2">
      <c r="C118" s="36" t="s">
        <v>8</v>
      </c>
      <c r="D118" s="5"/>
      <c r="E118" s="1">
        <f>+Annual!Z203</f>
        <v>3060</v>
      </c>
      <c r="F118" s="1">
        <f>+$E$118/12</f>
        <v>255</v>
      </c>
      <c r="G118" s="1">
        <f t="shared" ref="G118:Q118" si="78">+$E$118/12</f>
        <v>255</v>
      </c>
      <c r="H118" s="1">
        <f t="shared" si="78"/>
        <v>255</v>
      </c>
      <c r="I118" s="1">
        <f t="shared" si="78"/>
        <v>255</v>
      </c>
      <c r="J118" s="1">
        <f t="shared" si="78"/>
        <v>255</v>
      </c>
      <c r="K118" s="1">
        <f t="shared" si="78"/>
        <v>255</v>
      </c>
      <c r="L118" s="1">
        <f t="shared" si="78"/>
        <v>255</v>
      </c>
      <c r="M118" s="1">
        <f t="shared" si="78"/>
        <v>255</v>
      </c>
      <c r="N118" s="1">
        <f t="shared" si="78"/>
        <v>255</v>
      </c>
      <c r="O118" s="1">
        <f t="shared" si="78"/>
        <v>255</v>
      </c>
      <c r="P118" s="1">
        <f t="shared" si="78"/>
        <v>255</v>
      </c>
      <c r="Q118" s="1">
        <f t="shared" si="78"/>
        <v>255</v>
      </c>
    </row>
    <row r="119" spans="2:17" x14ac:dyDescent="0.2">
      <c r="C119" s="36" t="s">
        <v>306</v>
      </c>
      <c r="D119" s="5"/>
      <c r="E119" s="1">
        <f>+Annual!Z204</f>
        <v>157.5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f>+E119*0.4</f>
        <v>63</v>
      </c>
      <c r="M119" s="1">
        <f>+E119*0.4</f>
        <v>63</v>
      </c>
      <c r="N119" s="1">
        <f>+E119*0.2</f>
        <v>31.5</v>
      </c>
      <c r="O119" s="1">
        <v>0</v>
      </c>
      <c r="P119" s="1">
        <v>0</v>
      </c>
      <c r="Q119" s="1">
        <f t="shared" ref="Q119" si="79">+P119/12</f>
        <v>0</v>
      </c>
    </row>
    <row r="120" spans="2:17" ht="15" x14ac:dyDescent="0.35">
      <c r="C120" s="36" t="s">
        <v>302</v>
      </c>
      <c r="D120" s="5"/>
      <c r="E120" s="4">
        <f>+Annual!Z205</f>
        <v>1100</v>
      </c>
      <c r="F120" s="4">
        <f>+$E120*0.08</f>
        <v>88</v>
      </c>
      <c r="G120" s="4">
        <f t="shared" ref="G120:H120" si="80">+$E120*0.08</f>
        <v>88</v>
      </c>
      <c r="H120" s="4">
        <f t="shared" si="80"/>
        <v>88</v>
      </c>
      <c r="I120" s="4">
        <f>+$E120*0.0845</f>
        <v>92.95</v>
      </c>
      <c r="J120" s="4">
        <f t="shared" ref="J120:Q120" si="81">+$E120*0.0845</f>
        <v>92.95</v>
      </c>
      <c r="K120" s="4">
        <f t="shared" si="81"/>
        <v>92.95</v>
      </c>
      <c r="L120" s="4">
        <f t="shared" si="81"/>
        <v>92.95</v>
      </c>
      <c r="M120" s="4">
        <f t="shared" si="81"/>
        <v>92.95</v>
      </c>
      <c r="N120" s="4">
        <f t="shared" si="81"/>
        <v>92.95</v>
      </c>
      <c r="O120" s="4">
        <f t="shared" si="81"/>
        <v>92.95</v>
      </c>
      <c r="P120" s="4">
        <f t="shared" si="81"/>
        <v>92.95</v>
      </c>
      <c r="Q120" s="4">
        <f t="shared" si="81"/>
        <v>92.95</v>
      </c>
    </row>
    <row r="121" spans="2:17" x14ac:dyDescent="0.2">
      <c r="C121" s="36"/>
      <c r="D121" s="5" t="s">
        <v>307</v>
      </c>
      <c r="E121" s="1">
        <f>SUBTOTAL(9,E116:E120)</f>
        <v>4685.75</v>
      </c>
      <c r="F121" s="1">
        <f>SUBTOTAL(9,F116:F120)</f>
        <v>373.6875</v>
      </c>
      <c r="G121" s="1">
        <f t="shared" ref="G121:Q121" si="82">SUBTOTAL(9,G116:G120)</f>
        <v>373.6875</v>
      </c>
      <c r="H121" s="1">
        <f t="shared" si="82"/>
        <v>373.6875</v>
      </c>
      <c r="I121" s="1">
        <f t="shared" si="82"/>
        <v>378.63749999999999</v>
      </c>
      <c r="J121" s="1">
        <f t="shared" si="82"/>
        <v>378.63749999999999</v>
      </c>
      <c r="K121" s="1">
        <f t="shared" si="82"/>
        <v>378.63749999999999</v>
      </c>
      <c r="L121" s="1">
        <f t="shared" si="82"/>
        <v>441.63749999999999</v>
      </c>
      <c r="M121" s="1">
        <f t="shared" si="82"/>
        <v>441.63749999999999</v>
      </c>
      <c r="N121" s="1">
        <f t="shared" si="82"/>
        <v>410.13749999999999</v>
      </c>
      <c r="O121" s="1">
        <f t="shared" si="82"/>
        <v>378.63749999999999</v>
      </c>
      <c r="P121" s="1">
        <f t="shared" si="82"/>
        <v>378.63749999999999</v>
      </c>
      <c r="Q121" s="1">
        <f t="shared" si="82"/>
        <v>378.63749999999999</v>
      </c>
    </row>
    <row r="122" spans="2:17" x14ac:dyDescent="0.2">
      <c r="C122" s="36" t="s">
        <v>287</v>
      </c>
      <c r="D122" s="5"/>
      <c r="E122" s="74">
        <v>0</v>
      </c>
      <c r="F122" s="74">
        <v>0</v>
      </c>
      <c r="G122" s="74">
        <v>0</v>
      </c>
      <c r="H122" s="74">
        <v>0</v>
      </c>
      <c r="I122" s="74">
        <v>0</v>
      </c>
      <c r="J122" s="74">
        <v>0</v>
      </c>
      <c r="K122" s="74">
        <v>0</v>
      </c>
      <c r="L122" s="74">
        <v>0</v>
      </c>
      <c r="M122" s="74">
        <v>0</v>
      </c>
      <c r="N122" s="74">
        <v>0</v>
      </c>
      <c r="O122" s="74">
        <v>0</v>
      </c>
      <c r="P122" s="74">
        <v>0</v>
      </c>
      <c r="Q122" s="74">
        <v>0</v>
      </c>
    </row>
    <row r="123" spans="2:17" x14ac:dyDescent="0.2">
      <c r="C123" s="36"/>
      <c r="D123" s="5" t="s">
        <v>300</v>
      </c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 x14ac:dyDescent="0.2">
      <c r="B124" s="5" t="s">
        <v>299</v>
      </c>
      <c r="C124" s="36"/>
      <c r="D124" s="5"/>
      <c r="E124" s="8">
        <f>E115+E121+E123</f>
        <v>44685.75</v>
      </c>
      <c r="F124" s="8">
        <f>F115+F121+F123</f>
        <v>3707.0208333333335</v>
      </c>
      <c r="G124" s="8">
        <f t="shared" ref="G124:Q124" si="83">G115+G121+G123</f>
        <v>3707.0208333333335</v>
      </c>
      <c r="H124" s="8">
        <f t="shared" si="83"/>
        <v>3707.0208333333335</v>
      </c>
      <c r="I124" s="8">
        <f t="shared" si="83"/>
        <v>3711.9708333333333</v>
      </c>
      <c r="J124" s="8">
        <f t="shared" si="83"/>
        <v>3711.9708333333333</v>
      </c>
      <c r="K124" s="8">
        <f t="shared" si="83"/>
        <v>3711.9708333333333</v>
      </c>
      <c r="L124" s="8">
        <f t="shared" si="83"/>
        <v>3774.9708333333333</v>
      </c>
      <c r="M124" s="8">
        <f t="shared" si="83"/>
        <v>3774.9708333333333</v>
      </c>
      <c r="N124" s="8">
        <f t="shared" si="83"/>
        <v>3743.4708333333333</v>
      </c>
      <c r="O124" s="8">
        <f t="shared" si="83"/>
        <v>3711.9708333333333</v>
      </c>
      <c r="P124" s="8">
        <f t="shared" si="83"/>
        <v>3711.9708333333333</v>
      </c>
      <c r="Q124" s="8">
        <f t="shared" si="83"/>
        <v>3711.9708333333333</v>
      </c>
    </row>
    <row r="125" spans="2:17" x14ac:dyDescent="0.2">
      <c r="F125" s="1"/>
    </row>
    <row r="126" spans="2:17" x14ac:dyDescent="0.2">
      <c r="B126" s="5" t="s">
        <v>36</v>
      </c>
      <c r="F126" s="1"/>
    </row>
    <row r="127" spans="2:17" x14ac:dyDescent="0.2">
      <c r="C127" t="s">
        <v>249</v>
      </c>
      <c r="D127" s="5"/>
      <c r="E127" s="74">
        <f>+Annual!Z219</f>
        <v>80000</v>
      </c>
      <c r="F127" s="74">
        <f>+$E$127/12</f>
        <v>6666.666666666667</v>
      </c>
      <c r="G127" s="74">
        <f t="shared" ref="G127:Q127" si="84">+$E$127/12</f>
        <v>6666.666666666667</v>
      </c>
      <c r="H127" s="74">
        <f t="shared" si="84"/>
        <v>6666.666666666667</v>
      </c>
      <c r="I127" s="74">
        <f t="shared" si="84"/>
        <v>6666.666666666667</v>
      </c>
      <c r="J127" s="74">
        <f t="shared" si="84"/>
        <v>6666.666666666667</v>
      </c>
      <c r="K127" s="74">
        <f t="shared" si="84"/>
        <v>6666.666666666667</v>
      </c>
      <c r="L127" s="74">
        <f t="shared" si="84"/>
        <v>6666.666666666667</v>
      </c>
      <c r="M127" s="74">
        <f t="shared" si="84"/>
        <v>6666.666666666667</v>
      </c>
      <c r="N127" s="74">
        <f t="shared" si="84"/>
        <v>6666.666666666667</v>
      </c>
      <c r="O127" s="74">
        <f t="shared" si="84"/>
        <v>6666.666666666667</v>
      </c>
      <c r="P127" s="74">
        <f t="shared" si="84"/>
        <v>6666.666666666667</v>
      </c>
      <c r="Q127" s="74">
        <f t="shared" si="84"/>
        <v>6666.666666666667</v>
      </c>
    </row>
    <row r="128" spans="2:17" x14ac:dyDescent="0.2">
      <c r="D128" s="5" t="s">
        <v>273</v>
      </c>
      <c r="E128" s="8">
        <f>+E127</f>
        <v>80000</v>
      </c>
      <c r="F128" s="8">
        <f>+F127</f>
        <v>6666.666666666667</v>
      </c>
      <c r="G128" s="8">
        <f t="shared" ref="G128:Q128" si="85">+G127</f>
        <v>6666.666666666667</v>
      </c>
      <c r="H128" s="8">
        <f t="shared" si="85"/>
        <v>6666.666666666667</v>
      </c>
      <c r="I128" s="8">
        <f t="shared" si="85"/>
        <v>6666.666666666667</v>
      </c>
      <c r="J128" s="8">
        <f t="shared" si="85"/>
        <v>6666.666666666667</v>
      </c>
      <c r="K128" s="8">
        <f t="shared" si="85"/>
        <v>6666.666666666667</v>
      </c>
      <c r="L128" s="8">
        <f t="shared" si="85"/>
        <v>6666.666666666667</v>
      </c>
      <c r="M128" s="8">
        <f t="shared" si="85"/>
        <v>6666.666666666667</v>
      </c>
      <c r="N128" s="8">
        <f t="shared" si="85"/>
        <v>6666.666666666667</v>
      </c>
      <c r="O128" s="8">
        <f t="shared" si="85"/>
        <v>6666.666666666667</v>
      </c>
      <c r="P128" s="8">
        <f t="shared" si="85"/>
        <v>6666.666666666667</v>
      </c>
      <c r="Q128" s="8">
        <f t="shared" si="85"/>
        <v>6666.666666666667</v>
      </c>
    </row>
    <row r="129" spans="1:17" x14ac:dyDescent="0.2">
      <c r="C129" t="s">
        <v>7</v>
      </c>
      <c r="D129" s="5"/>
      <c r="E129" s="1">
        <f>+Annual!Z221</f>
        <v>0</v>
      </c>
      <c r="F129" s="1">
        <f>+$E$129/12</f>
        <v>0</v>
      </c>
      <c r="G129" s="1">
        <f t="shared" ref="G129:Q129" si="86">+$E$129/12</f>
        <v>0</v>
      </c>
      <c r="H129" s="1">
        <f t="shared" si="86"/>
        <v>0</v>
      </c>
      <c r="I129" s="1">
        <f t="shared" si="86"/>
        <v>0</v>
      </c>
      <c r="J129" s="1">
        <f t="shared" si="86"/>
        <v>0</v>
      </c>
      <c r="K129" s="1">
        <f t="shared" si="86"/>
        <v>0</v>
      </c>
      <c r="L129" s="1">
        <f t="shared" si="86"/>
        <v>0</v>
      </c>
      <c r="M129" s="1">
        <f t="shared" si="86"/>
        <v>0</v>
      </c>
      <c r="N129" s="1">
        <f t="shared" si="86"/>
        <v>0</v>
      </c>
      <c r="O129" s="1">
        <f t="shared" si="86"/>
        <v>0</v>
      </c>
      <c r="P129" s="1">
        <f t="shared" si="86"/>
        <v>0</v>
      </c>
      <c r="Q129" s="1">
        <f t="shared" si="86"/>
        <v>0</v>
      </c>
    </row>
    <row r="130" spans="1:17" x14ac:dyDescent="0.2">
      <c r="C130" t="s">
        <v>8</v>
      </c>
      <c r="D130" s="5"/>
      <c r="E130" s="1">
        <f>+Annual!Z222</f>
        <v>6120</v>
      </c>
      <c r="F130" s="1">
        <f>+$E$130/12</f>
        <v>510</v>
      </c>
      <c r="G130" s="1">
        <f t="shared" ref="G130:Q130" si="87">+$E$130/12</f>
        <v>510</v>
      </c>
      <c r="H130" s="1">
        <f t="shared" si="87"/>
        <v>510</v>
      </c>
      <c r="I130" s="1">
        <f t="shared" si="87"/>
        <v>510</v>
      </c>
      <c r="J130" s="1">
        <f t="shared" si="87"/>
        <v>510</v>
      </c>
      <c r="K130" s="1">
        <f t="shared" si="87"/>
        <v>510</v>
      </c>
      <c r="L130" s="1">
        <f t="shared" si="87"/>
        <v>510</v>
      </c>
      <c r="M130" s="1">
        <f t="shared" si="87"/>
        <v>510</v>
      </c>
      <c r="N130" s="1">
        <f t="shared" si="87"/>
        <v>510</v>
      </c>
      <c r="O130" s="1">
        <f t="shared" si="87"/>
        <v>510</v>
      </c>
      <c r="P130" s="1">
        <f t="shared" si="87"/>
        <v>510</v>
      </c>
      <c r="Q130" s="1">
        <f t="shared" si="87"/>
        <v>510</v>
      </c>
    </row>
    <row r="131" spans="1:17" x14ac:dyDescent="0.2">
      <c r="C131" t="s">
        <v>9</v>
      </c>
      <c r="D131" s="5"/>
      <c r="E131" s="1">
        <f>+Annual!Z223</f>
        <v>10000</v>
      </c>
      <c r="F131" s="1">
        <f>+$E131*0.08</f>
        <v>800</v>
      </c>
      <c r="G131" s="1">
        <f t="shared" ref="G131:H131" si="88">+$E131*0.08</f>
        <v>800</v>
      </c>
      <c r="H131" s="1">
        <f t="shared" si="88"/>
        <v>800</v>
      </c>
      <c r="I131" s="1">
        <f>+$E131*0.0845-5</f>
        <v>840</v>
      </c>
      <c r="J131" s="1">
        <f t="shared" ref="J131:Q131" si="89">+$E131*0.0845</f>
        <v>845</v>
      </c>
      <c r="K131" s="1">
        <f t="shared" si="89"/>
        <v>845</v>
      </c>
      <c r="L131" s="1">
        <f t="shared" si="89"/>
        <v>845</v>
      </c>
      <c r="M131" s="1">
        <f t="shared" si="89"/>
        <v>845</v>
      </c>
      <c r="N131" s="1">
        <f t="shared" si="89"/>
        <v>845</v>
      </c>
      <c r="O131" s="1">
        <f t="shared" si="89"/>
        <v>845</v>
      </c>
      <c r="P131" s="1">
        <f t="shared" si="89"/>
        <v>845</v>
      </c>
      <c r="Q131" s="1">
        <f t="shared" si="89"/>
        <v>845</v>
      </c>
    </row>
    <row r="132" spans="1:17" x14ac:dyDescent="0.2">
      <c r="C132" t="s">
        <v>10</v>
      </c>
      <c r="D132" s="5"/>
      <c r="E132" s="1">
        <f>+Annual!Z224</f>
        <v>6000</v>
      </c>
      <c r="F132" s="1">
        <f>+$E$132/12</f>
        <v>500</v>
      </c>
      <c r="G132" s="1">
        <f t="shared" ref="G132:Q132" si="90">+$E$132/12</f>
        <v>500</v>
      </c>
      <c r="H132" s="1">
        <f t="shared" si="90"/>
        <v>500</v>
      </c>
      <c r="I132" s="1">
        <f t="shared" si="90"/>
        <v>500</v>
      </c>
      <c r="J132" s="1">
        <f t="shared" si="90"/>
        <v>500</v>
      </c>
      <c r="K132" s="1">
        <f t="shared" si="90"/>
        <v>500</v>
      </c>
      <c r="L132" s="1">
        <f t="shared" si="90"/>
        <v>500</v>
      </c>
      <c r="M132" s="1">
        <f t="shared" si="90"/>
        <v>500</v>
      </c>
      <c r="N132" s="1">
        <f t="shared" si="90"/>
        <v>500</v>
      </c>
      <c r="O132" s="1">
        <f t="shared" si="90"/>
        <v>500</v>
      </c>
      <c r="P132" s="1">
        <f t="shared" si="90"/>
        <v>500</v>
      </c>
      <c r="Q132" s="1">
        <f t="shared" si="90"/>
        <v>500</v>
      </c>
    </row>
    <row r="133" spans="1:17" ht="15" x14ac:dyDescent="0.35">
      <c r="C133" s="29" t="s">
        <v>269</v>
      </c>
      <c r="E133" s="4">
        <f>+Annual!Z225</f>
        <v>245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f>+E133*0.6</f>
        <v>147</v>
      </c>
      <c r="M133" s="4">
        <f>+E133*0.4</f>
        <v>98</v>
      </c>
      <c r="N133" s="4">
        <v>0</v>
      </c>
      <c r="O133" s="4">
        <v>0</v>
      </c>
      <c r="P133" s="4">
        <v>0</v>
      </c>
      <c r="Q133" s="4">
        <v>0</v>
      </c>
    </row>
    <row r="134" spans="1:17" x14ac:dyDescent="0.2">
      <c r="D134" s="5" t="s">
        <v>274</v>
      </c>
      <c r="E134" s="8">
        <f>SUBTOTAL(9,E129:E133)</f>
        <v>22365</v>
      </c>
      <c r="F134" s="8">
        <f>SUBTOTAL(9,F129:F133)</f>
        <v>1810</v>
      </c>
      <c r="G134" s="8">
        <f t="shared" ref="G134:Q134" si="91">SUBTOTAL(9,G129:G133)</f>
        <v>1810</v>
      </c>
      <c r="H134" s="8">
        <f t="shared" si="91"/>
        <v>1810</v>
      </c>
      <c r="I134" s="8">
        <f t="shared" si="91"/>
        <v>1850</v>
      </c>
      <c r="J134" s="8">
        <f t="shared" si="91"/>
        <v>1855</v>
      </c>
      <c r="K134" s="8">
        <f t="shared" si="91"/>
        <v>1855</v>
      </c>
      <c r="L134" s="8">
        <f t="shared" si="91"/>
        <v>2002</v>
      </c>
      <c r="M134" s="8">
        <f t="shared" si="91"/>
        <v>1953</v>
      </c>
      <c r="N134" s="8">
        <f t="shared" si="91"/>
        <v>1855</v>
      </c>
      <c r="O134" s="8">
        <f t="shared" si="91"/>
        <v>1855</v>
      </c>
      <c r="P134" s="8">
        <f t="shared" si="91"/>
        <v>1855</v>
      </c>
      <c r="Q134" s="8">
        <f t="shared" si="91"/>
        <v>1855</v>
      </c>
    </row>
    <row r="135" spans="1:17" x14ac:dyDescent="0.2">
      <c r="C135" t="s">
        <v>11</v>
      </c>
      <c r="E135" s="1">
        <f>+Annual!Z227</f>
        <v>10000</v>
      </c>
      <c r="F135" s="1">
        <f>+$E$135/12</f>
        <v>833.33333333333337</v>
      </c>
      <c r="G135" s="1">
        <f t="shared" ref="G135:Q135" si="92">+$E$135/12</f>
        <v>833.33333333333337</v>
      </c>
      <c r="H135" s="1">
        <f t="shared" si="92"/>
        <v>833.33333333333337</v>
      </c>
      <c r="I135" s="1">
        <f t="shared" si="92"/>
        <v>833.33333333333337</v>
      </c>
      <c r="J135" s="1">
        <f t="shared" si="92"/>
        <v>833.33333333333337</v>
      </c>
      <c r="K135" s="1">
        <f t="shared" si="92"/>
        <v>833.33333333333337</v>
      </c>
      <c r="L135" s="1">
        <f t="shared" si="92"/>
        <v>833.33333333333337</v>
      </c>
      <c r="M135" s="1">
        <f t="shared" si="92"/>
        <v>833.33333333333337</v>
      </c>
      <c r="N135" s="1">
        <f t="shared" si="92"/>
        <v>833.33333333333337</v>
      </c>
      <c r="O135" s="1">
        <f t="shared" si="92"/>
        <v>833.33333333333337</v>
      </c>
      <c r="P135" s="1">
        <f t="shared" si="92"/>
        <v>833.33333333333337</v>
      </c>
      <c r="Q135" s="1">
        <f t="shared" si="92"/>
        <v>833.33333333333337</v>
      </c>
    </row>
    <row r="136" spans="1:17" x14ac:dyDescent="0.2">
      <c r="C136" t="s">
        <v>21</v>
      </c>
      <c r="E136" s="1">
        <f>+Annual!Z228</f>
        <v>80000</v>
      </c>
      <c r="F136" s="1">
        <v>6000</v>
      </c>
      <c r="G136" s="1">
        <v>6000</v>
      </c>
      <c r="H136" s="1">
        <v>6000</v>
      </c>
      <c r="I136" s="1">
        <v>6000</v>
      </c>
      <c r="J136" s="1">
        <v>6000</v>
      </c>
      <c r="K136" s="1">
        <v>6000</v>
      </c>
      <c r="L136" s="1">
        <v>6000</v>
      </c>
      <c r="M136" s="1">
        <v>0</v>
      </c>
      <c r="N136" s="1">
        <v>0</v>
      </c>
      <c r="O136" s="1">
        <v>26000</v>
      </c>
      <c r="P136" s="1">
        <v>6000</v>
      </c>
      <c r="Q136" s="1">
        <v>6000</v>
      </c>
    </row>
    <row r="137" spans="1:17" x14ac:dyDescent="0.2">
      <c r="C137" t="s">
        <v>37</v>
      </c>
      <c r="E137" s="1">
        <f>+Annual!Z229</f>
        <v>30000</v>
      </c>
      <c r="F137" s="1">
        <f>+$E$137/12</f>
        <v>2500</v>
      </c>
      <c r="G137" s="1">
        <f t="shared" ref="G137:Q137" si="93">+$E$137/12</f>
        <v>2500</v>
      </c>
      <c r="H137" s="1">
        <f t="shared" si="93"/>
        <v>2500</v>
      </c>
      <c r="I137" s="1">
        <f t="shared" si="93"/>
        <v>2500</v>
      </c>
      <c r="J137" s="1">
        <f t="shared" si="93"/>
        <v>2500</v>
      </c>
      <c r="K137" s="1">
        <f t="shared" si="93"/>
        <v>2500</v>
      </c>
      <c r="L137" s="1">
        <f t="shared" si="93"/>
        <v>2500</v>
      </c>
      <c r="M137" s="1">
        <f t="shared" si="93"/>
        <v>2500</v>
      </c>
      <c r="N137" s="1">
        <f t="shared" si="93"/>
        <v>2500</v>
      </c>
      <c r="O137" s="1">
        <f t="shared" si="93"/>
        <v>2500</v>
      </c>
      <c r="P137" s="1">
        <f t="shared" si="93"/>
        <v>2500</v>
      </c>
      <c r="Q137" s="1">
        <f t="shared" si="93"/>
        <v>2500</v>
      </c>
    </row>
    <row r="138" spans="1:17" x14ac:dyDescent="0.2">
      <c r="C138" t="s">
        <v>38</v>
      </c>
      <c r="E138" s="1">
        <f>+Annual!Z230</f>
        <v>90000</v>
      </c>
      <c r="F138" s="1">
        <f>+$E$138/12</f>
        <v>7500</v>
      </c>
      <c r="G138" s="1">
        <f t="shared" ref="G138:Q138" si="94">+$E$138/12</f>
        <v>7500</v>
      </c>
      <c r="H138" s="1">
        <f t="shared" si="94"/>
        <v>7500</v>
      </c>
      <c r="I138" s="1">
        <f t="shared" si="94"/>
        <v>7500</v>
      </c>
      <c r="J138" s="1">
        <f t="shared" si="94"/>
        <v>7500</v>
      </c>
      <c r="K138" s="1">
        <f t="shared" si="94"/>
        <v>7500</v>
      </c>
      <c r="L138" s="1">
        <f t="shared" si="94"/>
        <v>7500</v>
      </c>
      <c r="M138" s="1">
        <f t="shared" si="94"/>
        <v>7500</v>
      </c>
      <c r="N138" s="1">
        <f t="shared" si="94"/>
        <v>7500</v>
      </c>
      <c r="O138" s="1">
        <f t="shared" si="94"/>
        <v>7500</v>
      </c>
      <c r="P138" s="1">
        <f t="shared" si="94"/>
        <v>7500</v>
      </c>
      <c r="Q138" s="1">
        <f t="shared" si="94"/>
        <v>7500</v>
      </c>
    </row>
    <row r="139" spans="1:17" x14ac:dyDescent="0.2">
      <c r="C139" t="s">
        <v>13</v>
      </c>
      <c r="E139" s="1">
        <f>+Annual!Z231</f>
        <v>5000</v>
      </c>
      <c r="F139" s="1">
        <f>+$E$139/12</f>
        <v>416.66666666666669</v>
      </c>
      <c r="G139" s="1">
        <f t="shared" ref="G139:Q139" si="95">+$E$139/12</f>
        <v>416.66666666666669</v>
      </c>
      <c r="H139" s="1">
        <f t="shared" si="95"/>
        <v>416.66666666666669</v>
      </c>
      <c r="I139" s="1">
        <f t="shared" si="95"/>
        <v>416.66666666666669</v>
      </c>
      <c r="J139" s="1">
        <f t="shared" si="95"/>
        <v>416.66666666666669</v>
      </c>
      <c r="K139" s="1">
        <f t="shared" si="95"/>
        <v>416.66666666666669</v>
      </c>
      <c r="L139" s="1">
        <f t="shared" si="95"/>
        <v>416.66666666666669</v>
      </c>
      <c r="M139" s="1">
        <f t="shared" si="95"/>
        <v>416.66666666666669</v>
      </c>
      <c r="N139" s="1">
        <f t="shared" si="95"/>
        <v>416.66666666666669</v>
      </c>
      <c r="O139" s="1">
        <f t="shared" si="95"/>
        <v>416.66666666666669</v>
      </c>
      <c r="P139" s="1">
        <f t="shared" si="95"/>
        <v>416.66666666666669</v>
      </c>
      <c r="Q139" s="1">
        <f t="shared" si="95"/>
        <v>416.66666666666669</v>
      </c>
    </row>
    <row r="140" spans="1:17" ht="15" x14ac:dyDescent="0.35">
      <c r="C140" t="s">
        <v>15</v>
      </c>
      <c r="E140" s="4">
        <f>+Annual!Z232</f>
        <v>1000</v>
      </c>
      <c r="F140" s="4">
        <f>+$E$140/12</f>
        <v>83.333333333333329</v>
      </c>
      <c r="G140" s="4">
        <f t="shared" ref="G140:Q140" si="96">+$E$140/12</f>
        <v>83.333333333333329</v>
      </c>
      <c r="H140" s="4">
        <f t="shared" si="96"/>
        <v>83.333333333333329</v>
      </c>
      <c r="I140" s="4">
        <f t="shared" si="96"/>
        <v>83.333333333333329</v>
      </c>
      <c r="J140" s="4">
        <f t="shared" si="96"/>
        <v>83.333333333333329</v>
      </c>
      <c r="K140" s="4">
        <f t="shared" si="96"/>
        <v>83.333333333333329</v>
      </c>
      <c r="L140" s="4">
        <f t="shared" si="96"/>
        <v>83.333333333333329</v>
      </c>
      <c r="M140" s="4">
        <f t="shared" si="96"/>
        <v>83.333333333333329</v>
      </c>
      <c r="N140" s="4">
        <f t="shared" si="96"/>
        <v>83.333333333333329</v>
      </c>
      <c r="O140" s="4">
        <f t="shared" si="96"/>
        <v>83.333333333333329</v>
      </c>
      <c r="P140" s="4">
        <f t="shared" si="96"/>
        <v>83.333333333333329</v>
      </c>
      <c r="Q140" s="4">
        <f t="shared" si="96"/>
        <v>83.333333333333329</v>
      </c>
    </row>
    <row r="141" spans="1:17" ht="15" x14ac:dyDescent="0.35">
      <c r="D141" s="5" t="s">
        <v>155</v>
      </c>
      <c r="E141" s="6">
        <f>SUBTOTAL(9,E135:E140)</f>
        <v>216000</v>
      </c>
      <c r="F141" s="6">
        <f>SUBTOTAL(9,F135:F140)</f>
        <v>17333.333333333332</v>
      </c>
      <c r="G141" s="6">
        <f t="shared" ref="G141:Q141" si="97">SUBTOTAL(9,G135:G140)</f>
        <v>17333.333333333332</v>
      </c>
      <c r="H141" s="6">
        <f t="shared" si="97"/>
        <v>17333.333333333332</v>
      </c>
      <c r="I141" s="6">
        <f t="shared" si="97"/>
        <v>17333.333333333332</v>
      </c>
      <c r="J141" s="6">
        <f t="shared" si="97"/>
        <v>17333.333333333332</v>
      </c>
      <c r="K141" s="6">
        <f t="shared" si="97"/>
        <v>17333.333333333332</v>
      </c>
      <c r="L141" s="6">
        <f t="shared" si="97"/>
        <v>17333.333333333332</v>
      </c>
      <c r="M141" s="6">
        <f t="shared" si="97"/>
        <v>11333.333333333334</v>
      </c>
      <c r="N141" s="6">
        <f t="shared" si="97"/>
        <v>11333.333333333334</v>
      </c>
      <c r="O141" s="6">
        <f t="shared" si="97"/>
        <v>37333.333333333328</v>
      </c>
      <c r="P141" s="6">
        <f t="shared" si="97"/>
        <v>17333.333333333332</v>
      </c>
      <c r="Q141" s="6">
        <f t="shared" si="97"/>
        <v>17333.333333333332</v>
      </c>
    </row>
    <row r="142" spans="1:17" ht="15" x14ac:dyDescent="0.35">
      <c r="A142" s="5"/>
      <c r="B142" s="5" t="s">
        <v>39</v>
      </c>
      <c r="C142" s="5"/>
      <c r="D142" s="5"/>
      <c r="E142" s="6">
        <f t="shared" ref="E142" si="98">E128+E134+E141</f>
        <v>318365</v>
      </c>
      <c r="F142" s="6">
        <f t="shared" ref="F142:Q142" si="99">F128+F134+F141</f>
        <v>25810</v>
      </c>
      <c r="G142" s="6">
        <f t="shared" si="99"/>
        <v>25810</v>
      </c>
      <c r="H142" s="6">
        <f t="shared" si="99"/>
        <v>25810</v>
      </c>
      <c r="I142" s="6">
        <f t="shared" si="99"/>
        <v>25850</v>
      </c>
      <c r="J142" s="6">
        <f t="shared" si="99"/>
        <v>25855</v>
      </c>
      <c r="K142" s="6">
        <f t="shared" si="99"/>
        <v>25855</v>
      </c>
      <c r="L142" s="6">
        <f t="shared" si="99"/>
        <v>26002</v>
      </c>
      <c r="M142" s="6">
        <f t="shared" si="99"/>
        <v>19953</v>
      </c>
      <c r="N142" s="6">
        <f t="shared" si="99"/>
        <v>19855</v>
      </c>
      <c r="O142" s="6">
        <f t="shared" si="99"/>
        <v>45855</v>
      </c>
      <c r="P142" s="6">
        <f t="shared" si="99"/>
        <v>25855</v>
      </c>
      <c r="Q142" s="6">
        <f t="shared" si="99"/>
        <v>25855</v>
      </c>
    </row>
    <row r="143" spans="1:17" x14ac:dyDescent="0.2">
      <c r="A143" s="5"/>
      <c r="B143" s="5"/>
      <c r="C143" s="5"/>
      <c r="D143" s="5"/>
      <c r="F143" s="1"/>
    </row>
    <row r="144" spans="1:17" x14ac:dyDescent="0.2">
      <c r="A144" s="5"/>
      <c r="B144" s="5" t="s">
        <v>81</v>
      </c>
      <c r="C144" s="5"/>
      <c r="D144" s="5"/>
      <c r="F144" s="1"/>
    </row>
    <row r="145" spans="1:17" ht="15" x14ac:dyDescent="0.35">
      <c r="C145" s="5" t="s">
        <v>275</v>
      </c>
      <c r="D145" s="5"/>
      <c r="E145" s="4">
        <f>+Annual!Z237</f>
        <v>40000</v>
      </c>
      <c r="F145" s="4">
        <f>+$E$145/12</f>
        <v>3333.3333333333335</v>
      </c>
      <c r="G145" s="4">
        <f t="shared" ref="G145:Q145" si="100">+$E$145/12</f>
        <v>3333.3333333333335</v>
      </c>
      <c r="H145" s="4">
        <f t="shared" si="100"/>
        <v>3333.3333333333335</v>
      </c>
      <c r="I145" s="4">
        <f t="shared" si="100"/>
        <v>3333.3333333333335</v>
      </c>
      <c r="J145" s="4">
        <f t="shared" si="100"/>
        <v>3333.3333333333335</v>
      </c>
      <c r="K145" s="4">
        <f t="shared" si="100"/>
        <v>3333.3333333333335</v>
      </c>
      <c r="L145" s="4">
        <f t="shared" si="100"/>
        <v>3333.3333333333335</v>
      </c>
      <c r="M145" s="4">
        <f t="shared" si="100"/>
        <v>3333.3333333333335</v>
      </c>
      <c r="N145" s="4">
        <f t="shared" si="100"/>
        <v>3333.3333333333335</v>
      </c>
      <c r="O145" s="4">
        <f t="shared" si="100"/>
        <v>3333.3333333333335</v>
      </c>
      <c r="P145" s="4">
        <f t="shared" si="100"/>
        <v>3333.3333333333335</v>
      </c>
      <c r="Q145" s="4">
        <f t="shared" si="100"/>
        <v>3333.3333333333335</v>
      </c>
    </row>
    <row r="146" spans="1:17" x14ac:dyDescent="0.2">
      <c r="A146" s="5"/>
      <c r="B146" s="5"/>
      <c r="C146" t="s">
        <v>13</v>
      </c>
      <c r="D146" s="5"/>
      <c r="E146"/>
      <c r="F146"/>
      <c r="G146"/>
      <c r="H146"/>
      <c r="I146"/>
      <c r="J146"/>
      <c r="K146"/>
      <c r="L146"/>
      <c r="M146"/>
      <c r="N146"/>
      <c r="O146"/>
      <c r="P146"/>
      <c r="Q146"/>
    </row>
    <row r="147" spans="1:17" ht="15" x14ac:dyDescent="0.35">
      <c r="A147" s="5"/>
      <c r="B147" s="5" t="s">
        <v>82</v>
      </c>
      <c r="C147" s="5"/>
      <c r="D147" s="5"/>
      <c r="E147" s="6">
        <f>+E145</f>
        <v>40000</v>
      </c>
      <c r="F147" s="6">
        <f>+F145</f>
        <v>3333.3333333333335</v>
      </c>
      <c r="G147" s="6">
        <f t="shared" ref="G147:Q147" si="101">+G145</f>
        <v>3333.3333333333335</v>
      </c>
      <c r="H147" s="6">
        <f t="shared" si="101"/>
        <v>3333.3333333333335</v>
      </c>
      <c r="I147" s="6">
        <f t="shared" si="101"/>
        <v>3333.3333333333335</v>
      </c>
      <c r="J147" s="6">
        <f t="shared" si="101"/>
        <v>3333.3333333333335</v>
      </c>
      <c r="K147" s="6">
        <f t="shared" si="101"/>
        <v>3333.3333333333335</v>
      </c>
      <c r="L147" s="6">
        <f t="shared" si="101"/>
        <v>3333.3333333333335</v>
      </c>
      <c r="M147" s="6">
        <f t="shared" si="101"/>
        <v>3333.3333333333335</v>
      </c>
      <c r="N147" s="6">
        <f t="shared" si="101"/>
        <v>3333.3333333333335</v>
      </c>
      <c r="O147" s="6">
        <f t="shared" si="101"/>
        <v>3333.3333333333335</v>
      </c>
      <c r="P147" s="6">
        <f t="shared" si="101"/>
        <v>3333.3333333333335</v>
      </c>
      <c r="Q147" s="6">
        <f t="shared" si="101"/>
        <v>3333.3333333333335</v>
      </c>
    </row>
    <row r="148" spans="1:17" ht="15" x14ac:dyDescent="0.35">
      <c r="A148" s="5"/>
      <c r="B148" s="5"/>
      <c r="C148" s="5"/>
      <c r="D148" s="5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</row>
    <row r="149" spans="1:17" x14ac:dyDescent="0.2">
      <c r="A149" s="5"/>
      <c r="B149" s="5" t="s">
        <v>370</v>
      </c>
      <c r="C149" s="5"/>
      <c r="D149" s="5"/>
      <c r="F149" s="1"/>
    </row>
    <row r="150" spans="1:17" ht="15" x14ac:dyDescent="0.35">
      <c r="C150" s="5" t="s">
        <v>366</v>
      </c>
      <c r="D150" s="5"/>
      <c r="E150" s="4">
        <v>40000</v>
      </c>
      <c r="F150" s="4">
        <f>+$E$145/12</f>
        <v>3333.3333333333335</v>
      </c>
      <c r="G150" s="4">
        <f t="shared" ref="G150:Q150" si="102">+$E$145/12</f>
        <v>3333.3333333333335</v>
      </c>
      <c r="H150" s="4">
        <f t="shared" si="102"/>
        <v>3333.3333333333335</v>
      </c>
      <c r="I150" s="4">
        <f t="shared" si="102"/>
        <v>3333.3333333333335</v>
      </c>
      <c r="J150" s="4">
        <f t="shared" si="102"/>
        <v>3333.3333333333335</v>
      </c>
      <c r="K150" s="4">
        <f t="shared" si="102"/>
        <v>3333.3333333333335</v>
      </c>
      <c r="L150" s="4">
        <f t="shared" si="102"/>
        <v>3333.3333333333335</v>
      </c>
      <c r="M150" s="4">
        <f t="shared" si="102"/>
        <v>3333.3333333333335</v>
      </c>
      <c r="N150" s="4">
        <f t="shared" si="102"/>
        <v>3333.3333333333335</v>
      </c>
      <c r="O150" s="4">
        <f t="shared" si="102"/>
        <v>3333.3333333333335</v>
      </c>
      <c r="P150" s="4">
        <f t="shared" si="102"/>
        <v>3333.3333333333335</v>
      </c>
      <c r="Q150" s="4">
        <f t="shared" si="102"/>
        <v>3333.3333333333335</v>
      </c>
    </row>
    <row r="151" spans="1:17" ht="15" x14ac:dyDescent="0.35">
      <c r="A151" s="5"/>
      <c r="B151" s="5" t="s">
        <v>371</v>
      </c>
      <c r="C151" s="5"/>
      <c r="D151" s="5"/>
      <c r="E151" s="6">
        <f t="shared" ref="E151:Q151" si="103">+E150</f>
        <v>40000</v>
      </c>
      <c r="F151" s="6">
        <f t="shared" si="103"/>
        <v>3333.3333333333335</v>
      </c>
      <c r="G151" s="6">
        <f t="shared" si="103"/>
        <v>3333.3333333333335</v>
      </c>
      <c r="H151" s="6">
        <f t="shared" si="103"/>
        <v>3333.3333333333335</v>
      </c>
      <c r="I151" s="6">
        <f t="shared" si="103"/>
        <v>3333.3333333333335</v>
      </c>
      <c r="J151" s="6">
        <f t="shared" si="103"/>
        <v>3333.3333333333335</v>
      </c>
      <c r="K151" s="6">
        <f t="shared" si="103"/>
        <v>3333.3333333333335</v>
      </c>
      <c r="L151" s="6">
        <f t="shared" si="103"/>
        <v>3333.3333333333335</v>
      </c>
      <c r="M151" s="6">
        <f t="shared" si="103"/>
        <v>3333.3333333333335</v>
      </c>
      <c r="N151" s="6">
        <f t="shared" si="103"/>
        <v>3333.3333333333335</v>
      </c>
      <c r="O151" s="6">
        <f t="shared" si="103"/>
        <v>3333.3333333333335</v>
      </c>
      <c r="P151" s="6">
        <f t="shared" si="103"/>
        <v>3333.3333333333335</v>
      </c>
      <c r="Q151" s="6">
        <f t="shared" si="103"/>
        <v>3333.3333333333335</v>
      </c>
    </row>
    <row r="152" spans="1:17" x14ac:dyDescent="0.2">
      <c r="A152" s="5"/>
      <c r="B152" s="5"/>
      <c r="C152" s="5"/>
      <c r="D152" s="5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5" x14ac:dyDescent="0.35">
      <c r="A153" s="5" t="s">
        <v>40</v>
      </c>
      <c r="B153" s="5"/>
      <c r="C153" s="5"/>
      <c r="D153" s="5"/>
      <c r="E153" s="6">
        <f>E41+E54+E64+E85+E91+E96+E108+E111+E124+E142+E147+E151</f>
        <v>5362070.7663629632</v>
      </c>
      <c r="F153" s="6">
        <f t="shared" ref="F153:Q153" si="104">F41+F54+F64+F85+F91+F96+F108+F111+F124+F142+F147+F151</f>
        <v>459898.78886358009</v>
      </c>
      <c r="G153" s="6">
        <f t="shared" si="104"/>
        <v>444398.78886358009</v>
      </c>
      <c r="H153" s="6">
        <f t="shared" si="104"/>
        <v>433065.45553024678</v>
      </c>
      <c r="I153" s="6">
        <f t="shared" si="104"/>
        <v>442771.72053024685</v>
      </c>
      <c r="J153" s="6">
        <f t="shared" si="104"/>
        <v>437526.72053024685</v>
      </c>
      <c r="K153" s="6">
        <f t="shared" si="104"/>
        <v>434026.72053024685</v>
      </c>
      <c r="L153" s="6">
        <f t="shared" si="104"/>
        <v>445557.22053024685</v>
      </c>
      <c r="M153" s="6">
        <f t="shared" si="104"/>
        <v>429792.22053024685</v>
      </c>
      <c r="N153" s="6">
        <f t="shared" si="104"/>
        <v>428056.22053024685</v>
      </c>
      <c r="O153" s="6">
        <f t="shared" si="104"/>
        <v>532174.72053024697</v>
      </c>
      <c r="P153" s="6">
        <f t="shared" si="104"/>
        <v>440739.72053024685</v>
      </c>
      <c r="Q153" s="6">
        <f t="shared" si="104"/>
        <v>434062.05386358016</v>
      </c>
    </row>
    <row r="154" spans="1:17" x14ac:dyDescent="0.2">
      <c r="E154"/>
      <c r="F154"/>
      <c r="G154"/>
      <c r="H154"/>
      <c r="I154"/>
      <c r="J154"/>
      <c r="K154"/>
      <c r="L154"/>
      <c r="M154"/>
      <c r="N154"/>
      <c r="O154"/>
      <c r="P154"/>
      <c r="Q154"/>
    </row>
    <row r="155" spans="1:17" s="5" customFormat="1" ht="15" x14ac:dyDescent="0.35">
      <c r="A155" s="5" t="s">
        <v>83</v>
      </c>
      <c r="E155" s="6">
        <f t="shared" ref="E155:Q155" si="105">+E15-E153</f>
        <v>234846.41882222239</v>
      </c>
      <c r="F155" s="6">
        <f t="shared" si="105"/>
        <v>-2620.6900981479557</v>
      </c>
      <c r="G155" s="6">
        <f t="shared" si="105"/>
        <v>12879.309901852044</v>
      </c>
      <c r="H155" s="6">
        <f t="shared" si="105"/>
        <v>24212.643235185358</v>
      </c>
      <c r="I155" s="6">
        <f t="shared" si="105"/>
        <v>14506.378235185286</v>
      </c>
      <c r="J155" s="6">
        <f t="shared" si="105"/>
        <v>19751.378235185286</v>
      </c>
      <c r="K155" s="6">
        <f t="shared" si="105"/>
        <v>23251.378235185286</v>
      </c>
      <c r="L155" s="6">
        <f t="shared" si="105"/>
        <v>11720.878235185286</v>
      </c>
      <c r="M155" s="6">
        <f t="shared" si="105"/>
        <v>27485.878235185286</v>
      </c>
      <c r="N155" s="6">
        <f t="shared" si="105"/>
        <v>29221.878235185286</v>
      </c>
      <c r="O155" s="6">
        <f t="shared" si="105"/>
        <v>34683.37823518517</v>
      </c>
      <c r="P155" s="6">
        <f t="shared" si="105"/>
        <v>16538.378235185286</v>
      </c>
      <c r="Q155" s="6">
        <f t="shared" si="105"/>
        <v>23216.044901851972</v>
      </c>
    </row>
    <row r="156" spans="1:17" x14ac:dyDescent="0.2">
      <c r="E156"/>
    </row>
  </sheetData>
  <mergeCells count="3">
    <mergeCell ref="A1:Q1"/>
    <mergeCell ref="A2:Q2"/>
    <mergeCell ref="A3:Q3"/>
  </mergeCells>
  <printOptions horizontalCentered="1"/>
  <pageMargins left="0" right="0" top="0.5" bottom="0.5" header="0" footer="0"/>
  <pageSetup scale="67" fitToHeight="10" orientation="landscape" r:id="rId1"/>
  <headerFooter alignWithMargins="0"/>
  <rowBreaks count="2" manualBreakCount="2">
    <brk id="55" max="16" man="1"/>
    <brk id="108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3"/>
  <sheetViews>
    <sheetView topLeftCell="A10" workbookViewId="0">
      <selection activeCell="F10" sqref="F10"/>
    </sheetView>
  </sheetViews>
  <sheetFormatPr defaultColWidth="8.7109375" defaultRowHeight="12.75" x14ac:dyDescent="0.2"/>
  <cols>
    <col min="1" max="3" width="2.7109375" customWidth="1"/>
    <col min="4" max="4" width="41.140625" customWidth="1"/>
    <col min="5" max="5" width="29.7109375" style="3" bestFit="1" customWidth="1"/>
    <col min="6" max="10" width="10.28515625" style="1" bestFit="1" customWidth="1"/>
  </cols>
  <sheetData>
    <row r="1" spans="1:10" x14ac:dyDescent="0.2">
      <c r="A1" s="94" t="s">
        <v>146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x14ac:dyDescent="0.2">
      <c r="A2" s="94" t="s">
        <v>0</v>
      </c>
      <c r="B2" s="94"/>
      <c r="C2" s="94"/>
      <c r="D2" s="94"/>
      <c r="E2" s="94"/>
      <c r="F2" s="94"/>
      <c r="G2" s="94"/>
      <c r="H2" s="94"/>
      <c r="I2" s="94"/>
      <c r="J2" s="94"/>
    </row>
    <row r="3" spans="1:10" x14ac:dyDescent="0.2">
      <c r="A3" s="94" t="s">
        <v>61</v>
      </c>
      <c r="B3" s="94"/>
      <c r="C3" s="94"/>
      <c r="D3" s="94"/>
      <c r="E3" s="94"/>
      <c r="F3" s="94"/>
      <c r="G3" s="94"/>
      <c r="H3" s="94"/>
      <c r="I3" s="94"/>
      <c r="J3" s="94"/>
    </row>
    <row r="4" spans="1:10" x14ac:dyDescent="0.2">
      <c r="A4" s="9"/>
      <c r="B4" s="9"/>
      <c r="C4" s="9"/>
      <c r="D4" s="9"/>
      <c r="E4" s="9"/>
      <c r="F4" s="9"/>
      <c r="G4"/>
      <c r="H4"/>
      <c r="I4"/>
      <c r="J4"/>
    </row>
    <row r="5" spans="1:10" x14ac:dyDescent="0.2">
      <c r="A5" s="9"/>
      <c r="B5" s="9"/>
      <c r="C5" s="9"/>
      <c r="D5" s="9"/>
      <c r="E5" s="12" t="s">
        <v>87</v>
      </c>
      <c r="F5" s="12" t="s">
        <v>56</v>
      </c>
      <c r="G5" s="12" t="s">
        <v>57</v>
      </c>
      <c r="H5" s="12" t="s">
        <v>58</v>
      </c>
      <c r="I5" s="12" t="s">
        <v>59</v>
      </c>
      <c r="J5" s="12" t="s">
        <v>62</v>
      </c>
    </row>
    <row r="6" spans="1:10" x14ac:dyDescent="0.2">
      <c r="A6" s="9"/>
      <c r="B6" s="9"/>
      <c r="C6" s="9"/>
      <c r="D6" s="9"/>
      <c r="E6" s="12"/>
      <c r="F6" s="12"/>
      <c r="G6" s="12"/>
      <c r="H6" s="12"/>
      <c r="I6" s="12"/>
      <c r="J6" s="12"/>
    </row>
    <row r="7" spans="1:10" x14ac:dyDescent="0.2">
      <c r="A7" s="5" t="s">
        <v>60</v>
      </c>
      <c r="F7" s="1" t="e">
        <f>+#REF!</f>
        <v>#REF!</v>
      </c>
      <c r="G7" s="1" t="e">
        <f>+#REF!</f>
        <v>#REF!</v>
      </c>
      <c r="H7" s="1" t="e">
        <f>+#REF!</f>
        <v>#REF!</v>
      </c>
      <c r="I7" s="1" t="e">
        <f>+#REF!</f>
        <v>#REF!</v>
      </c>
      <c r="J7" s="1" t="e">
        <f>+#REF!</f>
        <v>#REF!</v>
      </c>
    </row>
    <row r="8" spans="1:10" x14ac:dyDescent="0.2">
      <c r="F8" s="2"/>
      <c r="G8" s="2"/>
      <c r="H8" s="2"/>
      <c r="I8" s="2"/>
      <c r="J8" s="2"/>
    </row>
    <row r="9" spans="1:10" x14ac:dyDescent="0.2">
      <c r="A9" s="5" t="s">
        <v>1</v>
      </c>
    </row>
    <row r="10" spans="1:10" x14ac:dyDescent="0.2">
      <c r="B10" t="s">
        <v>2</v>
      </c>
      <c r="E10" s="3" t="s">
        <v>51</v>
      </c>
      <c r="F10" s="1">
        <v>584014.6</v>
      </c>
      <c r="G10" s="1" t="e">
        <f>+F10/F7*G7*Inf</f>
        <v>#REF!</v>
      </c>
      <c r="H10" s="1" t="e">
        <f>+G10/G7*H7*Inf^2</f>
        <v>#REF!</v>
      </c>
      <c r="I10" s="1" t="e">
        <f>+H10/H7*I7*Inf^3</f>
        <v>#REF!</v>
      </c>
      <c r="J10" s="1" t="e">
        <f>+I10/I7*J7*Inf^4</f>
        <v>#REF!</v>
      </c>
    </row>
    <row r="11" spans="1:10" x14ac:dyDescent="0.2">
      <c r="B11" t="s">
        <v>65</v>
      </c>
      <c r="F11" s="1">
        <v>250000</v>
      </c>
      <c r="G11" s="1">
        <v>200000</v>
      </c>
      <c r="H11" s="1">
        <v>0</v>
      </c>
      <c r="I11" s="1">
        <v>0</v>
      </c>
      <c r="J11" s="1">
        <v>0</v>
      </c>
    </row>
    <row r="12" spans="1:10" x14ac:dyDescent="0.2">
      <c r="B12" t="s">
        <v>88</v>
      </c>
      <c r="F12" s="1">
        <v>0</v>
      </c>
      <c r="G12" s="1">
        <v>0</v>
      </c>
      <c r="H12" s="1">
        <v>0</v>
      </c>
      <c r="I12" s="1" t="e">
        <f>+H7*300</f>
        <v>#REF!</v>
      </c>
      <c r="J12" s="1" t="e">
        <f>+I7*300</f>
        <v>#REF!</v>
      </c>
    </row>
    <row r="13" spans="1:10" ht="15" x14ac:dyDescent="0.35">
      <c r="B13" t="s">
        <v>3</v>
      </c>
      <c r="E13" s="3" t="s">
        <v>63</v>
      </c>
      <c r="F13" s="4">
        <f>22*350</f>
        <v>7700</v>
      </c>
      <c r="G13" s="4" t="e">
        <f>22/F7*G7*350*Inf</f>
        <v>#REF!</v>
      </c>
      <c r="H13" s="4" t="e">
        <f>22/F7*H7*350*Inf^2</f>
        <v>#REF!</v>
      </c>
      <c r="I13" s="4" t="e">
        <f>22/F7*I7*350*Inf^3</f>
        <v>#REF!</v>
      </c>
      <c r="J13" s="4" t="e">
        <f>22/F7*J7*350*Inf^4</f>
        <v>#REF!</v>
      </c>
    </row>
    <row r="14" spans="1:10" s="5" customFormat="1" ht="15" x14ac:dyDescent="0.35">
      <c r="A14" s="5" t="s">
        <v>49</v>
      </c>
      <c r="E14" s="9"/>
      <c r="F14" s="6">
        <f>SUM(F10:F13)</f>
        <v>841714.6</v>
      </c>
      <c r="G14" s="6" t="e">
        <f>SUM(G10:G13)</f>
        <v>#REF!</v>
      </c>
      <c r="H14" s="6" t="e">
        <f>SUM(H10:H13)</f>
        <v>#REF!</v>
      </c>
      <c r="I14" s="6" t="e">
        <f>SUM(I10:I13)</f>
        <v>#REF!</v>
      </c>
      <c r="J14" s="6" t="e">
        <f>SUM(J10:J13)</f>
        <v>#REF!</v>
      </c>
    </row>
    <row r="16" spans="1:10" x14ac:dyDescent="0.2">
      <c r="A16" s="5" t="s">
        <v>4</v>
      </c>
    </row>
    <row r="17" spans="2:10" x14ac:dyDescent="0.2">
      <c r="B17" s="5" t="s">
        <v>5</v>
      </c>
    </row>
    <row r="18" spans="2:10" x14ac:dyDescent="0.2">
      <c r="B18" s="5"/>
      <c r="C18" t="s">
        <v>6</v>
      </c>
      <c r="E18" s="3" t="s">
        <v>95</v>
      </c>
      <c r="F18" s="1" t="e">
        <f>(#REF!)*34000</f>
        <v>#REF!</v>
      </c>
      <c r="G18" s="1" t="e">
        <f>(#REF!)*34000*Inf</f>
        <v>#REF!</v>
      </c>
      <c r="H18" s="1" t="e">
        <f>(#REF!)*34000*Inf^2</f>
        <v>#REF!</v>
      </c>
      <c r="I18" s="1" t="e">
        <f>(#REF!+1)*34000*Inf^3</f>
        <v>#REF!</v>
      </c>
      <c r="J18" s="1" t="e">
        <f>(#REF!+1)*34000*Inf^4</f>
        <v>#REF!</v>
      </c>
    </row>
    <row r="19" spans="2:10" ht="15" x14ac:dyDescent="0.35">
      <c r="C19" t="s">
        <v>96</v>
      </c>
      <c r="E19" s="3" t="s">
        <v>98</v>
      </c>
      <c r="F19" s="4">
        <f>8*180*7.5</f>
        <v>10800</v>
      </c>
      <c r="G19" s="4">
        <f>+F19</f>
        <v>10800</v>
      </c>
      <c r="H19" s="4">
        <f>1*9*180*7.5</f>
        <v>12150</v>
      </c>
      <c r="I19" s="4">
        <f>2*9*180*7.5</f>
        <v>24300</v>
      </c>
      <c r="J19" s="4">
        <f>+I19</f>
        <v>24300</v>
      </c>
    </row>
    <row r="20" spans="2:10" ht="15" x14ac:dyDescent="0.35">
      <c r="D20" s="5" t="s">
        <v>41</v>
      </c>
      <c r="E20" s="9"/>
      <c r="F20" s="6" t="e">
        <f>SUM(F18:F19)</f>
        <v>#REF!</v>
      </c>
      <c r="G20" s="6" t="e">
        <f>SUM(G18:G19)</f>
        <v>#REF!</v>
      </c>
      <c r="H20" s="6" t="e">
        <f>SUM(H18:H19)</f>
        <v>#REF!</v>
      </c>
      <c r="I20" s="6" t="e">
        <f>SUM(I18:I19)</f>
        <v>#REF!</v>
      </c>
      <c r="J20" s="6" t="e">
        <f>SUM(J18:J19)</f>
        <v>#REF!</v>
      </c>
    </row>
    <row r="21" spans="2:10" x14ac:dyDescent="0.2">
      <c r="C21" t="s">
        <v>7</v>
      </c>
      <c r="E21" s="13">
        <v>1.4999999999999999E-2</v>
      </c>
      <c r="F21" s="1" t="e">
        <f>+F20*0.015</f>
        <v>#REF!</v>
      </c>
      <c r="G21" s="1" t="e">
        <f>+G20*0.015</f>
        <v>#REF!</v>
      </c>
      <c r="H21" s="1" t="e">
        <f>+H20*0.015</f>
        <v>#REF!</v>
      </c>
      <c r="I21" s="1" t="e">
        <f>+I20*0.015</f>
        <v>#REF!</v>
      </c>
      <c r="J21" s="1" t="e">
        <f>+J20*0.015</f>
        <v>#REF!</v>
      </c>
    </row>
    <row r="22" spans="2:10" x14ac:dyDescent="0.2">
      <c r="C22" t="s">
        <v>8</v>
      </c>
      <c r="E22" s="3" t="s">
        <v>52</v>
      </c>
      <c r="F22" s="1" t="e">
        <f>+F20*0.0765+0.027*(#REF!+1)*7000</f>
        <v>#REF!</v>
      </c>
      <c r="G22" s="1" t="e">
        <f>+G20*0.0765+0.027*(#REF!+1)*7000</f>
        <v>#REF!</v>
      </c>
      <c r="H22" s="1" t="e">
        <f>+H20*0.0765+0.027*(#REF!+3)*7000</f>
        <v>#REF!</v>
      </c>
      <c r="I22" s="1" t="e">
        <f>+I20*0.0765+0.027*(#REF!+3)*7000</f>
        <v>#REF!</v>
      </c>
      <c r="J22" s="1" t="e">
        <f>+J20*0.0765+0.027*(#REF!+3)*7000</f>
        <v>#REF!</v>
      </c>
    </row>
    <row r="23" spans="2:10" x14ac:dyDescent="0.2">
      <c r="C23" t="s">
        <v>9</v>
      </c>
      <c r="E23" s="3" t="s">
        <v>99</v>
      </c>
      <c r="F23" s="1" t="e">
        <f>(#REF!+1)*200*12</f>
        <v>#REF!</v>
      </c>
      <c r="G23" s="1" t="e">
        <f>(#REF!+1)*200*12*Inf</f>
        <v>#REF!</v>
      </c>
      <c r="H23" s="1" t="e">
        <f>(#REF!+3)*200*12*Inf^2</f>
        <v>#REF!</v>
      </c>
      <c r="I23" s="1" t="e">
        <f>(#REF!+3)*200*12*Inf^3</f>
        <v>#REF!</v>
      </c>
      <c r="J23" s="1" t="e">
        <f>(#REF!+3)*200*12*Inf^4</f>
        <v>#REF!</v>
      </c>
    </row>
    <row r="24" spans="2:10" ht="15" x14ac:dyDescent="0.35">
      <c r="C24" t="s">
        <v>10</v>
      </c>
      <c r="E24" s="11" t="s">
        <v>53</v>
      </c>
      <c r="F24" s="4" t="e">
        <f>+F20*0.01</f>
        <v>#REF!</v>
      </c>
      <c r="G24" s="4" t="e">
        <f>+G20*0.01</f>
        <v>#REF!</v>
      </c>
      <c r="H24" s="4" t="e">
        <f>+H20*0.01</f>
        <v>#REF!</v>
      </c>
      <c r="I24" s="4" t="e">
        <f>+I20*0.01</f>
        <v>#REF!</v>
      </c>
      <c r="J24" s="4" t="e">
        <f>+J20*0.01</f>
        <v>#REF!</v>
      </c>
    </row>
    <row r="25" spans="2:10" ht="15" x14ac:dyDescent="0.35">
      <c r="D25" s="5" t="s">
        <v>42</v>
      </c>
      <c r="E25" s="9"/>
      <c r="F25" s="6" t="e">
        <f>SUM(F21:F24)</f>
        <v>#REF!</v>
      </c>
      <c r="G25" s="6" t="e">
        <f>SUM(G21:G24)</f>
        <v>#REF!</v>
      </c>
      <c r="H25" s="6" t="e">
        <f>SUM(H21:H24)</f>
        <v>#REF!</v>
      </c>
      <c r="I25" s="6" t="e">
        <f>SUM(I21:I24)</f>
        <v>#REF!</v>
      </c>
      <c r="J25" s="6" t="e">
        <f>SUM(J21:J24)</f>
        <v>#REF!</v>
      </c>
    </row>
    <row r="26" spans="2:10" x14ac:dyDescent="0.2">
      <c r="C26" t="s">
        <v>11</v>
      </c>
      <c r="E26" s="3" t="s">
        <v>71</v>
      </c>
      <c r="F26" s="1">
        <f>500*8</f>
        <v>4000</v>
      </c>
      <c r="G26" s="1" t="e">
        <f>8/F7*G7*500*Inf</f>
        <v>#REF!</v>
      </c>
      <c r="H26" s="1" t="e">
        <f>8/$F7*H7*500*Inf^2</f>
        <v>#REF!</v>
      </c>
      <c r="I26" s="1" t="e">
        <f>8/$F7*I7*500*Inf^3</f>
        <v>#REF!</v>
      </c>
      <c r="J26" s="1" t="e">
        <f>8/$F7*J7*500*Inf^4</f>
        <v>#REF!</v>
      </c>
    </row>
    <row r="27" spans="2:10" x14ac:dyDescent="0.2">
      <c r="C27" t="s">
        <v>12</v>
      </c>
      <c r="E27" s="3" t="s">
        <v>54</v>
      </c>
      <c r="F27" s="1">
        <v>1000</v>
      </c>
      <c r="G27" s="1">
        <f>+F27</f>
        <v>1000</v>
      </c>
      <c r="H27" s="1">
        <f>+G27</f>
        <v>1000</v>
      </c>
      <c r="I27" s="1">
        <f>+H27</f>
        <v>1000</v>
      </c>
      <c r="J27" s="1">
        <f>+I27</f>
        <v>1000</v>
      </c>
    </row>
    <row r="28" spans="2:10" x14ac:dyDescent="0.2">
      <c r="C28" t="s">
        <v>13</v>
      </c>
      <c r="E28" s="3" t="s">
        <v>94</v>
      </c>
      <c r="F28" s="1" t="e">
        <f>+#REF!*80</f>
        <v>#REF!</v>
      </c>
      <c r="G28" s="1" t="e">
        <f>+F28/F7*G7*Inf</f>
        <v>#REF!</v>
      </c>
      <c r="H28" s="1" t="e">
        <f>+G28/G7*H7*Inf^2</f>
        <v>#REF!</v>
      </c>
      <c r="I28" s="1" t="e">
        <f>+H28/H7*I7*Inf^3</f>
        <v>#REF!</v>
      </c>
      <c r="J28" s="1" t="e">
        <f>+I28/I7*J7*Inf^4</f>
        <v>#REF!</v>
      </c>
    </row>
    <row r="29" spans="2:10" x14ac:dyDescent="0.2">
      <c r="C29" t="s">
        <v>14</v>
      </c>
      <c r="E29" s="3" t="s">
        <v>68</v>
      </c>
      <c r="F29" s="1" t="e">
        <f>+#REF!*350</f>
        <v>#REF!</v>
      </c>
      <c r="G29" s="1" t="e">
        <f>(G7-F7)*350*Inf</f>
        <v>#REF!</v>
      </c>
      <c r="H29" s="1" t="e">
        <f>(H7-G7)*350*Inf^2</f>
        <v>#REF!</v>
      </c>
      <c r="I29" s="1" t="e">
        <f>(I7-H7)*350*Inf^3</f>
        <v>#REF!</v>
      </c>
      <c r="J29" s="1" t="e">
        <f>(J7-I7)*350*Inf^3</f>
        <v>#REF!</v>
      </c>
    </row>
    <row r="30" spans="2:10" x14ac:dyDescent="0.2">
      <c r="C30" t="s">
        <v>69</v>
      </c>
      <c r="E30" s="3" t="s">
        <v>101</v>
      </c>
      <c r="F30" s="1" t="e">
        <f>500*#REF!</f>
        <v>#REF!</v>
      </c>
      <c r="G30" s="1" t="e">
        <f>500*(#REF!-#REF!)*Inf</f>
        <v>#REF!</v>
      </c>
      <c r="H30" s="1" t="e">
        <f>500*(#REF!-#REF!)*Inf^2</f>
        <v>#REF!</v>
      </c>
      <c r="I30" s="1" t="e">
        <f>500*(#REF!-#REF!)*Inf^3</f>
        <v>#REF!</v>
      </c>
      <c r="J30" s="1" t="e">
        <f>500*(#REF!-#REF!)*Inf^4</f>
        <v>#REF!</v>
      </c>
    </row>
    <row r="31" spans="2:10" x14ac:dyDescent="0.2">
      <c r="C31" t="s">
        <v>15</v>
      </c>
      <c r="E31" s="3" t="s">
        <v>100</v>
      </c>
      <c r="F31" s="1" t="e">
        <f>2000*#REF!</f>
        <v>#REF!</v>
      </c>
      <c r="G31" s="1" t="e">
        <f>2000*(#REF!-#REF!)*Inf</f>
        <v>#REF!</v>
      </c>
      <c r="H31" s="1" t="e">
        <f>2000*(#REF!-#REF!)*Inf^2</f>
        <v>#REF!</v>
      </c>
      <c r="I31" s="1" t="e">
        <f>2000*(#REF!-#REF!)*Inf^3</f>
        <v>#REF!</v>
      </c>
      <c r="J31" s="1" t="e">
        <f>2000*(#REF!-#REF!)*Inf^4</f>
        <v>#REF!</v>
      </c>
    </row>
    <row r="32" spans="2:10" x14ac:dyDescent="0.2">
      <c r="C32" t="s">
        <v>16</v>
      </c>
      <c r="E32" s="3" t="s">
        <v>54</v>
      </c>
      <c r="F32" s="1">
        <v>2000</v>
      </c>
      <c r="G32" s="1">
        <v>2000</v>
      </c>
      <c r="H32" s="1">
        <v>2000</v>
      </c>
      <c r="I32" s="1">
        <v>2000</v>
      </c>
      <c r="J32" s="1">
        <v>2000</v>
      </c>
    </row>
    <row r="33" spans="2:10" ht="15" x14ac:dyDescent="0.35">
      <c r="C33" t="s">
        <v>17</v>
      </c>
      <c r="E33" s="3" t="s">
        <v>70</v>
      </c>
      <c r="F33" s="4" t="e">
        <f>80*10*#REF!</f>
        <v>#REF!</v>
      </c>
      <c r="G33" s="4" t="e">
        <f>80*10*#REF!*Inf</f>
        <v>#REF!</v>
      </c>
      <c r="H33" s="4" t="e">
        <f>80*10*#REF!*Inf^2</f>
        <v>#REF!</v>
      </c>
      <c r="I33" s="4" t="e">
        <f>80*10*#REF!*Inf^3</f>
        <v>#REF!</v>
      </c>
      <c r="J33" s="4" t="e">
        <f>80*10*#REF!*Inf^4</f>
        <v>#REF!</v>
      </c>
    </row>
    <row r="34" spans="2:10" ht="15" x14ac:dyDescent="0.35">
      <c r="D34" s="5" t="s">
        <v>43</v>
      </c>
      <c r="E34" s="9"/>
      <c r="F34" s="6" t="e">
        <f>SUM(F26:F33)</f>
        <v>#REF!</v>
      </c>
      <c r="G34" s="6" t="e">
        <f>SUM(G26:G33)</f>
        <v>#REF!</v>
      </c>
      <c r="H34" s="6" t="e">
        <f>SUM(H26:H33)</f>
        <v>#REF!</v>
      </c>
      <c r="I34" s="6" t="e">
        <f>SUM(I26:I33)</f>
        <v>#REF!</v>
      </c>
      <c r="J34" s="6" t="e">
        <f>SUM(J26:J33)</f>
        <v>#REF!</v>
      </c>
    </row>
    <row r="35" spans="2:10" ht="15" x14ac:dyDescent="0.35">
      <c r="B35" s="5" t="s">
        <v>18</v>
      </c>
      <c r="C35" s="5"/>
      <c r="D35" s="5"/>
      <c r="E35" s="9"/>
      <c r="F35" s="6" t="e">
        <f>SUM(F34,F25,F20)</f>
        <v>#REF!</v>
      </c>
      <c r="G35" s="6" t="e">
        <f>SUM(G34,G25,G20)</f>
        <v>#REF!</v>
      </c>
      <c r="H35" s="6" t="e">
        <f>SUM(H34,H25,H20)</f>
        <v>#REF!</v>
      </c>
      <c r="I35" s="6" t="e">
        <f>SUM(I34,I25,I20)</f>
        <v>#REF!</v>
      </c>
      <c r="J35" s="6" t="e">
        <f>SUM(J34,J25,J20)</f>
        <v>#REF!</v>
      </c>
    </row>
    <row r="37" spans="2:10" x14ac:dyDescent="0.2">
      <c r="B37" s="5" t="s">
        <v>66</v>
      </c>
    </row>
    <row r="38" spans="2:10" x14ac:dyDescent="0.2">
      <c r="B38" s="5"/>
      <c r="C38" t="s">
        <v>11</v>
      </c>
      <c r="E38" s="3" t="s">
        <v>67</v>
      </c>
      <c r="F38" s="1" t="e">
        <f>30*#REF!</f>
        <v>#REF!</v>
      </c>
      <c r="G38" s="1" t="e">
        <f>30*#REF!*Inf</f>
        <v>#REF!</v>
      </c>
      <c r="H38" s="1" t="e">
        <f>30*#REF!*Inf^2</f>
        <v>#REF!</v>
      </c>
      <c r="I38" s="1" t="e">
        <f>30*#REF!*Inf^3</f>
        <v>#REF!</v>
      </c>
      <c r="J38" s="1" t="e">
        <f>30*#REF!*Inf^4</f>
        <v>#REF!</v>
      </c>
    </row>
    <row r="39" spans="2:10" ht="15" x14ac:dyDescent="0.35">
      <c r="B39" s="5"/>
      <c r="C39" t="s">
        <v>13</v>
      </c>
      <c r="E39" s="3" t="s">
        <v>72</v>
      </c>
      <c r="F39" s="4" t="e">
        <f>300*#REF!</f>
        <v>#REF!</v>
      </c>
      <c r="G39" s="4" t="e">
        <f>300*#REF!*Inf</f>
        <v>#REF!</v>
      </c>
      <c r="H39" s="4" t="e">
        <f>300*#REF!*Inf^2</f>
        <v>#REF!</v>
      </c>
      <c r="I39" s="4" t="e">
        <f>300*#REF!*Inf^3</f>
        <v>#REF!</v>
      </c>
      <c r="J39" s="4" t="e">
        <f>300*#REF!*Inf^4</f>
        <v>#REF!</v>
      </c>
    </row>
    <row r="40" spans="2:10" ht="15" x14ac:dyDescent="0.35">
      <c r="B40" s="5" t="s">
        <v>84</v>
      </c>
      <c r="F40" s="6" t="e">
        <f>SUM(F38:F39)</f>
        <v>#REF!</v>
      </c>
      <c r="G40" s="6" t="e">
        <f>SUM(G38:G39)</f>
        <v>#REF!</v>
      </c>
      <c r="H40" s="6" t="e">
        <f>SUM(H38:H39)</f>
        <v>#REF!</v>
      </c>
      <c r="I40" s="6" t="e">
        <f>SUM(I38:I39)</f>
        <v>#REF!</v>
      </c>
      <c r="J40" s="6" t="e">
        <f>SUM(J38:J39)</f>
        <v>#REF!</v>
      </c>
    </row>
    <row r="42" spans="2:10" x14ac:dyDescent="0.2">
      <c r="B42" s="5" t="s">
        <v>91</v>
      </c>
      <c r="F42" s="14"/>
      <c r="G42" s="14"/>
      <c r="H42" s="14"/>
      <c r="I42"/>
      <c r="J42"/>
    </row>
    <row r="43" spans="2:10" ht="15" x14ac:dyDescent="0.35">
      <c r="C43" s="5" t="s">
        <v>11</v>
      </c>
      <c r="D43" s="5"/>
      <c r="E43" s="3" t="s">
        <v>54</v>
      </c>
      <c r="F43" s="6">
        <v>5000</v>
      </c>
      <c r="G43" s="6">
        <v>0</v>
      </c>
      <c r="H43" s="6">
        <v>0</v>
      </c>
      <c r="I43" s="6">
        <v>0</v>
      </c>
      <c r="J43" s="6">
        <v>0</v>
      </c>
    </row>
    <row r="44" spans="2:10" x14ac:dyDescent="0.2">
      <c r="E44"/>
      <c r="F44"/>
      <c r="G44"/>
      <c r="H44"/>
      <c r="I44"/>
      <c r="J44"/>
    </row>
    <row r="45" spans="2:10" x14ac:dyDescent="0.2">
      <c r="B45" s="5" t="s">
        <v>19</v>
      </c>
    </row>
    <row r="46" spans="2:10" ht="15" x14ac:dyDescent="0.35">
      <c r="C46" s="5" t="s">
        <v>11</v>
      </c>
      <c r="D46" s="5"/>
      <c r="E46" s="3" t="s">
        <v>54</v>
      </c>
      <c r="F46" s="6">
        <v>11500</v>
      </c>
      <c r="G46" s="6" t="e">
        <f>+#REF!*500</f>
        <v>#REF!</v>
      </c>
      <c r="H46" s="6" t="e">
        <f>+#REF!*500</f>
        <v>#REF!</v>
      </c>
      <c r="I46" s="6" t="e">
        <f>+#REF!*500</f>
        <v>#REF!</v>
      </c>
      <c r="J46" s="6" t="e">
        <f>+#REF!*500</f>
        <v>#REF!</v>
      </c>
    </row>
    <row r="48" spans="2:10" x14ac:dyDescent="0.2">
      <c r="B48" s="5" t="s">
        <v>24</v>
      </c>
    </row>
    <row r="49" spans="2:10" x14ac:dyDescent="0.2">
      <c r="C49" t="s">
        <v>20</v>
      </c>
      <c r="E49" s="3" t="s">
        <v>54</v>
      </c>
      <c r="F49" s="1">
        <v>2000</v>
      </c>
      <c r="G49" s="1">
        <v>2000</v>
      </c>
      <c r="H49" s="1">
        <v>2000</v>
      </c>
      <c r="I49" s="1">
        <v>2000</v>
      </c>
      <c r="J49" s="1">
        <v>2000</v>
      </c>
    </row>
    <row r="50" spans="2:10" x14ac:dyDescent="0.2">
      <c r="C50" t="s">
        <v>75</v>
      </c>
      <c r="E50" s="3" t="s">
        <v>54</v>
      </c>
      <c r="F50" s="1">
        <v>36500</v>
      </c>
      <c r="G50" s="1">
        <v>0</v>
      </c>
      <c r="H50" s="1">
        <v>0</v>
      </c>
      <c r="I50" s="1">
        <v>0</v>
      </c>
      <c r="J50" s="1">
        <v>0</v>
      </c>
    </row>
    <row r="51" spans="2:10" x14ac:dyDescent="0.2">
      <c r="C51" t="s">
        <v>76</v>
      </c>
      <c r="E51" s="3" t="s">
        <v>54</v>
      </c>
      <c r="F51" s="1">
        <v>5500</v>
      </c>
      <c r="G51" s="1">
        <f t="shared" ref="G51:J53" si="0">+F51*Inf</f>
        <v>5665</v>
      </c>
      <c r="H51" s="1">
        <f t="shared" si="0"/>
        <v>5834.95</v>
      </c>
      <c r="I51" s="1">
        <f t="shared" si="0"/>
        <v>6009.9984999999997</v>
      </c>
      <c r="J51" s="1">
        <f t="shared" si="0"/>
        <v>6190.2984550000001</v>
      </c>
    </row>
    <row r="52" spans="2:10" x14ac:dyDescent="0.2">
      <c r="C52" t="s">
        <v>93</v>
      </c>
      <c r="E52" s="3" t="s">
        <v>54</v>
      </c>
      <c r="F52" s="1">
        <v>4000</v>
      </c>
      <c r="G52" s="1">
        <v>0</v>
      </c>
      <c r="H52" s="1">
        <v>0</v>
      </c>
      <c r="I52" s="1">
        <v>0</v>
      </c>
      <c r="J52" s="1">
        <v>0</v>
      </c>
    </row>
    <row r="53" spans="2:10" x14ac:dyDescent="0.2">
      <c r="C53" t="s">
        <v>12</v>
      </c>
      <c r="E53" s="3" t="s">
        <v>54</v>
      </c>
      <c r="F53" s="1">
        <v>2000</v>
      </c>
      <c r="G53" s="1">
        <f t="shared" si="0"/>
        <v>2060</v>
      </c>
      <c r="H53" s="1">
        <f t="shared" si="0"/>
        <v>2121.8000000000002</v>
      </c>
      <c r="I53" s="1">
        <f t="shared" si="0"/>
        <v>2185.4540000000002</v>
      </c>
      <c r="J53" s="1">
        <f t="shared" si="0"/>
        <v>2251.0176200000001</v>
      </c>
    </row>
    <row r="54" spans="2:10" x14ac:dyDescent="0.2">
      <c r="C54" t="s">
        <v>21</v>
      </c>
      <c r="E54" s="3" t="s">
        <v>54</v>
      </c>
      <c r="F54" s="1">
        <v>6500</v>
      </c>
      <c r="G54" s="1">
        <f>+F54*Inf</f>
        <v>6695</v>
      </c>
      <c r="H54" s="1">
        <f>+G54*Inf</f>
        <v>6895.85</v>
      </c>
      <c r="I54" s="1">
        <f>+H54*Inf</f>
        <v>7102.7255000000005</v>
      </c>
      <c r="J54" s="1">
        <f>+I54*Inf</f>
        <v>7315.8072650000004</v>
      </c>
    </row>
    <row r="55" spans="2:10" ht="15" x14ac:dyDescent="0.35">
      <c r="C55" t="s">
        <v>92</v>
      </c>
      <c r="E55" s="3">
        <f>8337/250000</f>
        <v>3.3348000000000003E-2</v>
      </c>
      <c r="F55" s="4">
        <f>0.033348*F11</f>
        <v>8337</v>
      </c>
      <c r="G55" s="4">
        <f>0.033348*G11</f>
        <v>6669.6</v>
      </c>
      <c r="H55" s="4">
        <f>0.033348*H11</f>
        <v>0</v>
      </c>
      <c r="I55" s="4">
        <f>0.033348*I11</f>
        <v>0</v>
      </c>
      <c r="J55" s="4">
        <f>0.033348*J11</f>
        <v>0</v>
      </c>
    </row>
    <row r="56" spans="2:10" ht="15" x14ac:dyDescent="0.35">
      <c r="B56" s="5" t="s">
        <v>23</v>
      </c>
      <c r="C56" s="5"/>
      <c r="D56" s="5"/>
      <c r="E56" s="9"/>
      <c r="F56" s="6">
        <f>SUM(F49:F55)</f>
        <v>64837</v>
      </c>
      <c r="G56" s="6">
        <f>SUM(G49:G55)</f>
        <v>23089.599999999999</v>
      </c>
      <c r="H56" s="6">
        <f>SUM(H49:H55)</f>
        <v>16852.599999999999</v>
      </c>
      <c r="I56" s="6">
        <f>SUM(I49:I55)</f>
        <v>17298.178</v>
      </c>
      <c r="J56" s="6">
        <f>SUM(J49:J55)</f>
        <v>17757.123340000002</v>
      </c>
    </row>
    <row r="58" spans="2:10" x14ac:dyDescent="0.2">
      <c r="B58" s="5" t="s">
        <v>25</v>
      </c>
    </row>
    <row r="59" spans="2:10" ht="15" x14ac:dyDescent="0.35">
      <c r="C59" s="5" t="s">
        <v>22</v>
      </c>
      <c r="D59" s="5"/>
      <c r="E59" s="3" t="s">
        <v>55</v>
      </c>
      <c r="F59" s="6">
        <f>0.05*F10</f>
        <v>29200.73</v>
      </c>
      <c r="G59" s="6" t="e">
        <f>0.05*G10</f>
        <v>#REF!</v>
      </c>
      <c r="H59" s="6" t="e">
        <f>0.05*H10</f>
        <v>#REF!</v>
      </c>
      <c r="I59" s="6" t="e">
        <f>0.05*I10</f>
        <v>#REF!</v>
      </c>
      <c r="J59" s="6" t="e">
        <f>0.05*J10</f>
        <v>#REF!</v>
      </c>
    </row>
    <row r="61" spans="2:10" x14ac:dyDescent="0.2">
      <c r="B61" s="5" t="s">
        <v>26</v>
      </c>
    </row>
    <row r="62" spans="2:10" x14ac:dyDescent="0.2">
      <c r="C62" t="s">
        <v>44</v>
      </c>
      <c r="E62" s="3" t="s">
        <v>54</v>
      </c>
      <c r="F62" s="1">
        <v>45000</v>
      </c>
      <c r="G62" s="1">
        <f t="shared" ref="G62:J63" si="1">+F62*Inf</f>
        <v>46350</v>
      </c>
      <c r="H62" s="1">
        <f t="shared" si="1"/>
        <v>47740.5</v>
      </c>
      <c r="I62" s="1">
        <f t="shared" si="1"/>
        <v>49172.715000000004</v>
      </c>
      <c r="J62" s="1">
        <f t="shared" si="1"/>
        <v>50647.896450000007</v>
      </c>
    </row>
    <row r="63" spans="2:10" ht="15" x14ac:dyDescent="0.35">
      <c r="C63" t="s">
        <v>45</v>
      </c>
      <c r="E63" s="3" t="s">
        <v>54</v>
      </c>
      <c r="F63" s="4">
        <f>12*254*7.5</f>
        <v>22860</v>
      </c>
      <c r="G63" s="4">
        <f t="shared" si="1"/>
        <v>23545.8</v>
      </c>
      <c r="H63" s="4">
        <f t="shared" si="1"/>
        <v>24252.173999999999</v>
      </c>
      <c r="I63" s="4">
        <f t="shared" si="1"/>
        <v>24979.739219999999</v>
      </c>
      <c r="J63" s="4">
        <f t="shared" si="1"/>
        <v>25729.131396600002</v>
      </c>
    </row>
    <row r="64" spans="2:10" ht="15" x14ac:dyDescent="0.35">
      <c r="D64" s="5" t="s">
        <v>27</v>
      </c>
      <c r="E64" s="9"/>
      <c r="F64" s="6">
        <f>SUM(F62:F63)</f>
        <v>67860</v>
      </c>
      <c r="G64" s="6">
        <f>SUM(G62:G63)</f>
        <v>69895.8</v>
      </c>
      <c r="H64" s="6">
        <f>SUM(H62:H63)</f>
        <v>71992.673999999999</v>
      </c>
      <c r="I64" s="6">
        <f>SUM(I62:I63)</f>
        <v>74152.45422</v>
      </c>
      <c r="J64" s="6">
        <f>SUM(J62:J63)</f>
        <v>76377.027846600016</v>
      </c>
    </row>
    <row r="65" spans="2:10" x14ac:dyDescent="0.2">
      <c r="C65" t="s">
        <v>7</v>
      </c>
      <c r="E65" s="13">
        <v>1.4999999999999999E-2</v>
      </c>
      <c r="F65" s="1">
        <f>+F64*0.015</f>
        <v>1017.9</v>
      </c>
      <c r="G65" s="1">
        <f>+G64*0.015</f>
        <v>1048.4369999999999</v>
      </c>
      <c r="H65" s="1">
        <f>+H64*0.015</f>
        <v>1079.89011</v>
      </c>
      <c r="I65" s="1">
        <f>+I64*0.015</f>
        <v>1112.2868132999999</v>
      </c>
      <c r="J65" s="1">
        <f>+J64*0.015</f>
        <v>1145.6554176990003</v>
      </c>
    </row>
    <row r="66" spans="2:10" x14ac:dyDescent="0.2">
      <c r="C66" t="s">
        <v>8</v>
      </c>
      <c r="E66" s="3" t="s">
        <v>52</v>
      </c>
      <c r="F66" s="1">
        <f>+F64*0.0765+0.027*2*7000</f>
        <v>5569.29</v>
      </c>
      <c r="G66" s="1">
        <f>+G64*0.0765+0.027*2*7000</f>
        <v>5725.0286999999998</v>
      </c>
      <c r="H66" s="1">
        <f>+H64*0.0765+0.027*2*7000</f>
        <v>5885.4395610000001</v>
      </c>
      <c r="I66" s="1">
        <f>+I64*0.0765+0.027*2*7000</f>
        <v>6050.6627478299997</v>
      </c>
      <c r="J66" s="1">
        <f>+J64*0.0765+0.027*2*7000</f>
        <v>6220.8426302649013</v>
      </c>
    </row>
    <row r="67" spans="2:10" x14ac:dyDescent="0.2">
      <c r="C67" t="s">
        <v>9</v>
      </c>
      <c r="E67" s="3" t="s">
        <v>99</v>
      </c>
      <c r="F67" s="1">
        <f>2*200*12</f>
        <v>4800</v>
      </c>
      <c r="G67" s="1">
        <f>2*200*12*Inf</f>
        <v>4944</v>
      </c>
      <c r="H67" s="1">
        <f>2*200*12*Inf^2</f>
        <v>5092.32</v>
      </c>
      <c r="I67" s="1">
        <f>2*200*12*Inf^3</f>
        <v>5245.0896000000002</v>
      </c>
      <c r="J67" s="1">
        <f>2*200*12*Inf^4</f>
        <v>5402.4422879999993</v>
      </c>
    </row>
    <row r="68" spans="2:10" ht="15" x14ac:dyDescent="0.35">
      <c r="C68" t="s">
        <v>10</v>
      </c>
      <c r="E68" s="11" t="s">
        <v>53</v>
      </c>
      <c r="F68" s="4">
        <f>+F64*0.01</f>
        <v>678.6</v>
      </c>
      <c r="G68" s="4">
        <f>+G64*0.01</f>
        <v>698.95800000000008</v>
      </c>
      <c r="H68" s="4">
        <f>+H64*0.01</f>
        <v>719.92674</v>
      </c>
      <c r="I68" s="4">
        <f>+I64*0.01</f>
        <v>741.52454220000004</v>
      </c>
      <c r="J68" s="4">
        <f>+J64*0.01</f>
        <v>763.77027846600015</v>
      </c>
    </row>
    <row r="69" spans="2:10" ht="15" x14ac:dyDescent="0.35">
      <c r="D69" s="5" t="s">
        <v>28</v>
      </c>
      <c r="E69" s="9"/>
      <c r="F69" s="6">
        <f>SUM(F65:F68)</f>
        <v>12065.789999999999</v>
      </c>
      <c r="G69" s="6">
        <f>SUM(G65:G68)</f>
        <v>12416.423700000001</v>
      </c>
      <c r="H69" s="6">
        <f>SUM(H65:H68)</f>
        <v>12777.576411</v>
      </c>
      <c r="I69" s="6">
        <f>SUM(I65:I68)</f>
        <v>13149.563703330001</v>
      </c>
      <c r="J69" s="6">
        <f>SUM(J65:J68)</f>
        <v>13532.7106144299</v>
      </c>
    </row>
    <row r="70" spans="2:10" x14ac:dyDescent="0.2">
      <c r="C70" t="s">
        <v>12</v>
      </c>
      <c r="E70" s="3" t="s">
        <v>54</v>
      </c>
      <c r="F70" s="1">
        <v>2000</v>
      </c>
      <c r="G70" s="1">
        <f t="shared" ref="G70:J72" si="2">+F70*Inf</f>
        <v>2060</v>
      </c>
      <c r="H70" s="1">
        <f t="shared" si="2"/>
        <v>2121.8000000000002</v>
      </c>
      <c r="I70" s="1">
        <f t="shared" si="2"/>
        <v>2185.4540000000002</v>
      </c>
      <c r="J70" s="1">
        <f t="shared" si="2"/>
        <v>2251.0176200000001</v>
      </c>
    </row>
    <row r="71" spans="2:10" x14ac:dyDescent="0.2">
      <c r="C71" t="s">
        <v>29</v>
      </c>
      <c r="E71" s="3" t="s">
        <v>102</v>
      </c>
      <c r="F71" s="1">
        <f>750*12</f>
        <v>9000</v>
      </c>
      <c r="G71" s="1">
        <f t="shared" si="2"/>
        <v>9270</v>
      </c>
      <c r="H71" s="1">
        <f t="shared" si="2"/>
        <v>9548.1</v>
      </c>
      <c r="I71" s="1">
        <f t="shared" si="2"/>
        <v>9834.5430000000015</v>
      </c>
      <c r="J71" s="1">
        <f t="shared" si="2"/>
        <v>10129.579290000001</v>
      </c>
    </row>
    <row r="72" spans="2:10" x14ac:dyDescent="0.2">
      <c r="C72" t="s">
        <v>30</v>
      </c>
      <c r="E72" s="3" t="s">
        <v>54</v>
      </c>
      <c r="F72" s="1">
        <v>7500</v>
      </c>
      <c r="G72" s="1">
        <f t="shared" si="2"/>
        <v>7725</v>
      </c>
      <c r="H72" s="1">
        <f t="shared" si="2"/>
        <v>7956.75</v>
      </c>
      <c r="I72" s="1">
        <f t="shared" si="2"/>
        <v>8195.4524999999994</v>
      </c>
      <c r="J72" s="1">
        <f t="shared" si="2"/>
        <v>8441.3160749999988</v>
      </c>
    </row>
    <row r="73" spans="2:10" x14ac:dyDescent="0.2">
      <c r="C73" t="s">
        <v>73</v>
      </c>
      <c r="E73" s="3" t="s">
        <v>54</v>
      </c>
      <c r="F73" s="1">
        <v>7500</v>
      </c>
      <c r="G73" s="1">
        <v>2000</v>
      </c>
      <c r="H73" s="1">
        <f>+G73*Inf</f>
        <v>2060</v>
      </c>
      <c r="I73" s="1">
        <f>+H73*Inf</f>
        <v>2121.8000000000002</v>
      </c>
      <c r="J73" s="1">
        <f>+I73*Inf</f>
        <v>2185.4540000000002</v>
      </c>
    </row>
    <row r="74" spans="2:10" x14ac:dyDescent="0.2">
      <c r="C74" t="s">
        <v>13</v>
      </c>
      <c r="E74" s="3" t="s">
        <v>54</v>
      </c>
      <c r="F74" s="1">
        <v>10000</v>
      </c>
      <c r="G74" s="1">
        <f>F74*Inf</f>
        <v>10300</v>
      </c>
      <c r="H74" s="1">
        <f t="shared" ref="H74:J76" si="3">+G74*Inf</f>
        <v>10609</v>
      </c>
      <c r="I74" s="1">
        <f t="shared" si="3"/>
        <v>10927.27</v>
      </c>
      <c r="J74" s="1">
        <f t="shared" si="3"/>
        <v>11255.088100000001</v>
      </c>
    </row>
    <row r="75" spans="2:10" x14ac:dyDescent="0.2">
      <c r="C75" t="s">
        <v>15</v>
      </c>
      <c r="E75" s="3" t="s">
        <v>54</v>
      </c>
      <c r="F75" s="1">
        <v>1000</v>
      </c>
      <c r="G75" s="1">
        <f>+F75*Inf</f>
        <v>1030</v>
      </c>
      <c r="H75" s="1">
        <f t="shared" si="3"/>
        <v>1060.9000000000001</v>
      </c>
      <c r="I75" s="1">
        <f t="shared" si="3"/>
        <v>1092.7270000000001</v>
      </c>
      <c r="J75" s="1">
        <f t="shared" si="3"/>
        <v>1125.50881</v>
      </c>
    </row>
    <row r="76" spans="2:10" ht="15" x14ac:dyDescent="0.35">
      <c r="C76" t="s">
        <v>16</v>
      </c>
      <c r="E76" s="3" t="s">
        <v>54</v>
      </c>
      <c r="F76" s="4">
        <v>5000</v>
      </c>
      <c r="G76" s="4">
        <v>1000</v>
      </c>
      <c r="H76" s="4">
        <f t="shared" si="3"/>
        <v>1030</v>
      </c>
      <c r="I76" s="4">
        <f t="shared" si="3"/>
        <v>1060.9000000000001</v>
      </c>
      <c r="J76" s="4">
        <f t="shared" si="3"/>
        <v>1092.7270000000001</v>
      </c>
    </row>
    <row r="77" spans="2:10" ht="15" x14ac:dyDescent="0.35">
      <c r="B77" s="5"/>
      <c r="C77" s="5"/>
      <c r="D77" s="5" t="s">
        <v>31</v>
      </c>
      <c r="E77" s="9"/>
      <c r="F77" s="6">
        <f>SUM(F70:F76)</f>
        <v>42000</v>
      </c>
      <c r="G77" s="6">
        <f>SUM(G70:G76)</f>
        <v>33385</v>
      </c>
      <c r="H77" s="6">
        <f>SUM(H70:H76)</f>
        <v>34386.550000000003</v>
      </c>
      <c r="I77" s="6">
        <f>SUM(I70:I76)</f>
        <v>35418.146500000003</v>
      </c>
      <c r="J77" s="6">
        <f>SUM(J70:J76)</f>
        <v>36480.690895000007</v>
      </c>
    </row>
    <row r="78" spans="2:10" ht="15" x14ac:dyDescent="0.35">
      <c r="B78" s="5" t="s">
        <v>32</v>
      </c>
      <c r="C78" s="5"/>
      <c r="D78" s="5"/>
      <c r="E78" s="9"/>
      <c r="F78" s="6">
        <f>SUM(F77,F69,F64)</f>
        <v>121925.79000000001</v>
      </c>
      <c r="G78" s="6">
        <f>SUM(G77,G69,G64)</f>
        <v>115697.2237</v>
      </c>
      <c r="H78" s="6">
        <f>SUM(H77,H69,H64)</f>
        <v>119156.800411</v>
      </c>
      <c r="I78" s="6">
        <f>SUM(I77,I69,I64)</f>
        <v>122720.16442333</v>
      </c>
      <c r="J78" s="6">
        <f>SUM(J77,J69,J64)</f>
        <v>126390.42935602993</v>
      </c>
    </row>
    <row r="80" spans="2:10" x14ac:dyDescent="0.2">
      <c r="B80" s="5" t="s">
        <v>50</v>
      </c>
    </row>
    <row r="81" spans="2:10" x14ac:dyDescent="0.2">
      <c r="B81" s="5"/>
      <c r="C81" t="s">
        <v>33</v>
      </c>
      <c r="E81" s="3" t="s">
        <v>74</v>
      </c>
      <c r="F81" s="1" t="e">
        <f>+#REF!*500*12+12000</f>
        <v>#REF!</v>
      </c>
      <c r="G81" s="1" t="e">
        <f>(#REF!*500*12+12000)*Inf</f>
        <v>#REF!</v>
      </c>
      <c r="H81" s="1" t="e">
        <f>(#REF!*500*12+12000)*Inf^2</f>
        <v>#REF!</v>
      </c>
      <c r="I81" s="1" t="e">
        <f>(#REF!*500*12+12000)*Inf^3</f>
        <v>#REF!</v>
      </c>
      <c r="J81" s="1" t="e">
        <f>(#REF!*500*12+12000)*Inf^4</f>
        <v>#REF!</v>
      </c>
    </row>
    <row r="82" spans="2:10" x14ac:dyDescent="0.2">
      <c r="B82" s="5"/>
      <c r="C82" t="s">
        <v>78</v>
      </c>
      <c r="F82" s="1" t="e">
        <f>2500*#REF!+2000</f>
        <v>#REF!</v>
      </c>
      <c r="G82" s="1" t="e">
        <f>2500*(#REF!-#REF!)*Inf</f>
        <v>#REF!</v>
      </c>
      <c r="H82" s="1" t="e">
        <f>2500*(#REF!-#REF!)*Inf^2</f>
        <v>#REF!</v>
      </c>
      <c r="I82" s="1" t="e">
        <f>2500*(#REF!-#REF!)*Inf^3</f>
        <v>#REF!</v>
      </c>
      <c r="J82" s="1" t="e">
        <f>2500*(#REF!-#REF!)*Inf^4</f>
        <v>#REF!</v>
      </c>
    </row>
    <row r="83" spans="2:10" ht="15" x14ac:dyDescent="0.35">
      <c r="B83" s="5"/>
      <c r="C83" t="s">
        <v>79</v>
      </c>
      <c r="F83" s="4">
        <v>8000</v>
      </c>
      <c r="G83" s="4" t="e">
        <f>2000*(#REF!-#REF!)*Inf</f>
        <v>#REF!</v>
      </c>
      <c r="H83" s="4" t="e">
        <f>2000*(#REF!-#REF!)*Inf^2</f>
        <v>#REF!</v>
      </c>
      <c r="I83" s="4" t="e">
        <f>2000*(#REF!-#REF!)*Inf^3</f>
        <v>#REF!</v>
      </c>
      <c r="J83" s="4" t="e">
        <f>2000*(#REF!-#REF!)*Inf^4</f>
        <v>#REF!</v>
      </c>
    </row>
    <row r="84" spans="2:10" ht="15" x14ac:dyDescent="0.35">
      <c r="B84" s="5" t="s">
        <v>77</v>
      </c>
      <c r="C84" s="5"/>
      <c r="D84" s="5"/>
      <c r="E84" s="9"/>
      <c r="F84" s="6" t="e">
        <f>SUM(F81:F83)</f>
        <v>#REF!</v>
      </c>
      <c r="G84" s="6" t="e">
        <f>SUM(G81:G83)</f>
        <v>#REF!</v>
      </c>
      <c r="H84" s="6" t="e">
        <f>SUM(H81:H83)</f>
        <v>#REF!</v>
      </c>
      <c r="I84" s="6" t="e">
        <f>SUM(I81:I83)</f>
        <v>#REF!</v>
      </c>
      <c r="J84" s="6" t="e">
        <f>SUM(J81:J83)</f>
        <v>#REF!</v>
      </c>
    </row>
    <row r="86" spans="2:10" x14ac:dyDescent="0.2">
      <c r="B86" s="5" t="s">
        <v>34</v>
      </c>
    </row>
    <row r="87" spans="2:10" x14ac:dyDescent="0.2">
      <c r="C87" t="s">
        <v>46</v>
      </c>
      <c r="E87" s="11" t="s">
        <v>85</v>
      </c>
      <c r="F87" s="1">
        <f>0.03*(F10-F59)</f>
        <v>16644.416099999999</v>
      </c>
      <c r="G87" s="1" t="e">
        <f>0.03*(G10-G59)</f>
        <v>#REF!</v>
      </c>
      <c r="H87" s="1" t="e">
        <f>0.03*(H10-H59)</f>
        <v>#REF!</v>
      </c>
      <c r="I87" s="1" t="e">
        <f>0.03*(I10-I59)</f>
        <v>#REF!</v>
      </c>
      <c r="J87" s="1" t="e">
        <f>0.03*(J10-J59)</f>
        <v>#REF!</v>
      </c>
    </row>
    <row r="88" spans="2:10" ht="15" x14ac:dyDescent="0.35">
      <c r="C88" t="s">
        <v>47</v>
      </c>
      <c r="E88" s="11" t="s">
        <v>86</v>
      </c>
      <c r="F88" s="4" t="e">
        <f>0.0325*(F20+F44+F64)</f>
        <v>#REF!</v>
      </c>
      <c r="G88" s="4" t="e">
        <f>0.0325*(G20+G44+G64)</f>
        <v>#REF!</v>
      </c>
      <c r="H88" s="4" t="e">
        <f>0.0325*(H20+H44+H64)</f>
        <v>#REF!</v>
      </c>
      <c r="I88" s="4" t="e">
        <f>0.0325*(I20+I44+I64)</f>
        <v>#REF!</v>
      </c>
      <c r="J88" s="4" t="e">
        <f>0.0325*(J20+J44+J64)</f>
        <v>#REF!</v>
      </c>
    </row>
    <row r="89" spans="2:10" ht="15" x14ac:dyDescent="0.35">
      <c r="B89" s="5" t="s">
        <v>48</v>
      </c>
      <c r="C89" s="5"/>
      <c r="D89" s="5"/>
      <c r="E89" s="9"/>
      <c r="F89" s="6" t="e">
        <f>SUM(F87:F88)</f>
        <v>#REF!</v>
      </c>
      <c r="G89" s="6" t="e">
        <f>SUM(G87:G88)</f>
        <v>#REF!</v>
      </c>
      <c r="H89" s="6" t="e">
        <f>SUM(H87:H88)</f>
        <v>#REF!</v>
      </c>
      <c r="I89" s="6" t="e">
        <f>SUM(I87:I88)</f>
        <v>#REF!</v>
      </c>
      <c r="J89" s="6" t="e">
        <f>SUM(J87:J88)</f>
        <v>#REF!</v>
      </c>
    </row>
    <row r="90" spans="2:10" ht="15" x14ac:dyDescent="0.35">
      <c r="B90" s="5"/>
      <c r="C90" s="5"/>
      <c r="D90" s="5"/>
      <c r="E90" s="9"/>
      <c r="F90" s="6"/>
      <c r="G90" s="6"/>
      <c r="H90" s="6"/>
      <c r="I90" s="6"/>
      <c r="J90" s="6"/>
    </row>
    <row r="91" spans="2:10" x14ac:dyDescent="0.2">
      <c r="B91" s="5" t="s">
        <v>80</v>
      </c>
    </row>
    <row r="92" spans="2:10" ht="15" x14ac:dyDescent="0.35">
      <c r="C92" s="5" t="s">
        <v>11</v>
      </c>
      <c r="D92" s="5"/>
      <c r="E92" s="3" t="s">
        <v>74</v>
      </c>
      <c r="F92" s="6" t="e">
        <f>0.5*180*#REF!</f>
        <v>#REF!</v>
      </c>
      <c r="G92" s="6" t="e">
        <f>0.5*180*#REF!*Inf</f>
        <v>#REF!</v>
      </c>
      <c r="H92" s="6" t="e">
        <f>0.5*180*#REF!*Inf^2</f>
        <v>#REF!</v>
      </c>
      <c r="I92" s="6" t="e">
        <f>0.5*180*#REF!*Inf^3</f>
        <v>#REF!</v>
      </c>
      <c r="J92" s="6" t="e">
        <f>0.5*180*#REF!*Inf^4</f>
        <v>#REF!</v>
      </c>
    </row>
    <row r="94" spans="2:10" x14ac:dyDescent="0.2">
      <c r="B94" s="5" t="s">
        <v>35</v>
      </c>
    </row>
    <row r="95" spans="2:10" ht="15" x14ac:dyDescent="0.35">
      <c r="C95" s="5" t="s">
        <v>11</v>
      </c>
      <c r="D95" s="5"/>
      <c r="E95" s="3" t="s">
        <v>97</v>
      </c>
      <c r="F95" s="6">
        <f>1*225*180</f>
        <v>40500</v>
      </c>
      <c r="G95" s="6">
        <f>1*225*180*Inf</f>
        <v>41715</v>
      </c>
      <c r="H95" s="6">
        <f>2*225*180*Inf^2</f>
        <v>85932.9</v>
      </c>
      <c r="I95" s="6">
        <f>2*225*180*Inf^3</f>
        <v>88510.887000000002</v>
      </c>
      <c r="J95" s="6">
        <f>2*225*180*Inf^4</f>
        <v>91166.213609999992</v>
      </c>
    </row>
    <row r="97" spans="1:10" x14ac:dyDescent="0.2">
      <c r="B97" s="5" t="s">
        <v>36</v>
      </c>
    </row>
    <row r="98" spans="1:10" x14ac:dyDescent="0.2">
      <c r="C98" t="s">
        <v>11</v>
      </c>
      <c r="F98" s="1">
        <f>0.02*(F10-F59)</f>
        <v>11096.277400000001</v>
      </c>
      <c r="G98" s="1" t="e">
        <f>0.02*(G10-G59)</f>
        <v>#REF!</v>
      </c>
      <c r="H98" s="1" t="e">
        <f>0.02*(H10-H59)</f>
        <v>#REF!</v>
      </c>
      <c r="I98" s="1" t="e">
        <f>0.02*(I10-I59)</f>
        <v>#REF!</v>
      </c>
      <c r="J98" s="1" t="e">
        <f>0.02*(J10-J59)</f>
        <v>#REF!</v>
      </c>
    </row>
    <row r="99" spans="1:10" x14ac:dyDescent="0.2">
      <c r="C99" t="s">
        <v>21</v>
      </c>
      <c r="F99" s="1">
        <v>1500</v>
      </c>
      <c r="G99" s="1">
        <f t="shared" ref="G99:J100" si="4">+F99*Inf</f>
        <v>1545</v>
      </c>
      <c r="H99" s="1">
        <f t="shared" si="4"/>
        <v>1591.3500000000001</v>
      </c>
      <c r="I99" s="1">
        <f t="shared" si="4"/>
        <v>1639.0905000000002</v>
      </c>
      <c r="J99" s="1">
        <f t="shared" si="4"/>
        <v>1688.2632150000004</v>
      </c>
    </row>
    <row r="100" spans="1:10" x14ac:dyDescent="0.2">
      <c r="C100" t="s">
        <v>37</v>
      </c>
      <c r="F100" s="1">
        <f>250*12</f>
        <v>3000</v>
      </c>
      <c r="G100" s="1">
        <f t="shared" si="4"/>
        <v>3090</v>
      </c>
      <c r="H100" s="1">
        <f t="shared" si="4"/>
        <v>3182.7000000000003</v>
      </c>
      <c r="I100" s="1">
        <f t="shared" si="4"/>
        <v>3278.1810000000005</v>
      </c>
      <c r="J100" s="1">
        <f t="shared" si="4"/>
        <v>3376.5264300000008</v>
      </c>
    </row>
    <row r="101" spans="1:10" x14ac:dyDescent="0.2">
      <c r="C101" t="s">
        <v>38</v>
      </c>
      <c r="F101" s="1">
        <f>500*12</f>
        <v>6000</v>
      </c>
      <c r="G101" s="1" t="e">
        <f>+F101/F7*G7*Inf</f>
        <v>#REF!</v>
      </c>
      <c r="H101" s="1" t="e">
        <f>+G101/G7*H7*Inf^2</f>
        <v>#REF!</v>
      </c>
      <c r="I101" s="1" t="e">
        <f>+H101/H7*I7*Inf^3</f>
        <v>#REF!</v>
      </c>
      <c r="J101" s="1" t="e">
        <f>+I101/I7*J7*Inf^4</f>
        <v>#REF!</v>
      </c>
    </row>
    <row r="102" spans="1:10" x14ac:dyDescent="0.2">
      <c r="C102" t="s">
        <v>13</v>
      </c>
      <c r="F102" s="1">
        <v>2800</v>
      </c>
      <c r="G102" s="1" t="e">
        <f>+F102/F7*G7*Inf</f>
        <v>#REF!</v>
      </c>
      <c r="H102" s="1" t="e">
        <f>+G102/G7*H7*Inf^2</f>
        <v>#REF!</v>
      </c>
      <c r="I102" s="1" t="e">
        <f>+H102/H7*I7*Inf^3</f>
        <v>#REF!</v>
      </c>
      <c r="J102" s="1" t="e">
        <f>+I102/I7*J7*Inf^4</f>
        <v>#REF!</v>
      </c>
    </row>
    <row r="103" spans="1:10" ht="15" x14ac:dyDescent="0.35">
      <c r="C103" t="s">
        <v>15</v>
      </c>
      <c r="F103" s="4">
        <v>5000</v>
      </c>
      <c r="G103" s="4">
        <f>1000*Inf</f>
        <v>1030</v>
      </c>
      <c r="H103" s="4" t="e">
        <f>+G103/G7*H7*Inf^2</f>
        <v>#REF!</v>
      </c>
      <c r="I103" s="4" t="e">
        <f>+H103/H7*I7*Inf^3</f>
        <v>#REF!</v>
      </c>
      <c r="J103" s="4" t="e">
        <f>+I103/I7*J7*Inf^4</f>
        <v>#REF!</v>
      </c>
    </row>
    <row r="104" spans="1:10" ht="15" x14ac:dyDescent="0.35">
      <c r="A104" s="5"/>
      <c r="B104" s="5" t="s">
        <v>39</v>
      </c>
      <c r="C104" s="5"/>
      <c r="D104" s="5"/>
      <c r="E104" s="9"/>
      <c r="F104" s="6">
        <f>SUM(F98:F103)</f>
        <v>29396.277399999999</v>
      </c>
      <c r="G104" s="6" t="e">
        <f>SUM(G98:G103)</f>
        <v>#REF!</v>
      </c>
      <c r="H104" s="6" t="e">
        <f>SUM(H98:H103)</f>
        <v>#REF!</v>
      </c>
      <c r="I104" s="6" t="e">
        <f>SUM(I98:I103)</f>
        <v>#REF!</v>
      </c>
      <c r="J104" s="6" t="e">
        <f>SUM(J98:J103)</f>
        <v>#REF!</v>
      </c>
    </row>
    <row r="105" spans="1:10" ht="15" x14ac:dyDescent="0.35">
      <c r="A105" s="5"/>
      <c r="B105" s="5"/>
      <c r="C105" s="5"/>
      <c r="D105" s="5"/>
      <c r="E105" s="9"/>
      <c r="F105" s="6"/>
      <c r="G105" s="6"/>
      <c r="H105" s="6"/>
      <c r="I105" s="6"/>
      <c r="J105" s="6"/>
    </row>
    <row r="106" spans="1:10" ht="15" x14ac:dyDescent="0.35">
      <c r="A106" s="5"/>
      <c r="B106" s="5" t="s">
        <v>81</v>
      </c>
      <c r="C106" s="5"/>
      <c r="D106" s="5"/>
      <c r="E106" s="9"/>
      <c r="F106" s="6"/>
      <c r="G106" s="6"/>
      <c r="H106" s="6"/>
      <c r="I106" s="6"/>
      <c r="J106" s="6"/>
    </row>
    <row r="107" spans="1:10" x14ac:dyDescent="0.2">
      <c r="A107" s="5"/>
      <c r="B107" s="5"/>
      <c r="C107" t="s">
        <v>11</v>
      </c>
      <c r="D107" s="5"/>
      <c r="E107" s="9"/>
      <c r="F107" s="1">
        <f>750*12</f>
        <v>9000</v>
      </c>
      <c r="G107" s="1">
        <f t="shared" ref="G107:J108" si="5">+F107*Inf</f>
        <v>9270</v>
      </c>
      <c r="H107" s="1">
        <f t="shared" si="5"/>
        <v>9548.1</v>
      </c>
      <c r="I107" s="1">
        <f t="shared" si="5"/>
        <v>9834.5430000000015</v>
      </c>
      <c r="J107" s="1">
        <f t="shared" si="5"/>
        <v>10129.579290000001</v>
      </c>
    </row>
    <row r="108" spans="1:10" ht="15" x14ac:dyDescent="0.35">
      <c r="A108" s="5"/>
      <c r="B108" s="5"/>
      <c r="C108" t="s">
        <v>13</v>
      </c>
      <c r="D108" s="5"/>
      <c r="F108" s="10">
        <v>4000</v>
      </c>
      <c r="G108" s="10">
        <f t="shared" si="5"/>
        <v>4120</v>
      </c>
      <c r="H108" s="10">
        <f t="shared" si="5"/>
        <v>4243.6000000000004</v>
      </c>
      <c r="I108" s="10">
        <f t="shared" si="5"/>
        <v>4370.9080000000004</v>
      </c>
      <c r="J108" s="10">
        <f t="shared" si="5"/>
        <v>4502.0352400000002</v>
      </c>
    </row>
    <row r="109" spans="1:10" ht="15" x14ac:dyDescent="0.35">
      <c r="A109" s="5"/>
      <c r="B109" s="5" t="s">
        <v>82</v>
      </c>
      <c r="C109" s="5"/>
      <c r="D109" s="5"/>
      <c r="E109" s="9"/>
      <c r="F109" s="6">
        <f>SUM(F107:F108)</f>
        <v>13000</v>
      </c>
      <c r="G109" s="6">
        <f>SUM(G107:G108)</f>
        <v>13390</v>
      </c>
      <c r="H109" s="6">
        <f>SUM(H107:H108)</f>
        <v>13791.7</v>
      </c>
      <c r="I109" s="6">
        <f>SUM(I107:I108)</f>
        <v>14205.451000000001</v>
      </c>
      <c r="J109" s="6">
        <f>SUM(J107:J108)</f>
        <v>14631.614530000003</v>
      </c>
    </row>
    <row r="110" spans="1:10" x14ac:dyDescent="0.2">
      <c r="A110" s="5"/>
      <c r="B110" s="5"/>
      <c r="C110" s="5"/>
      <c r="D110" s="5"/>
      <c r="E110" s="9"/>
      <c r="F110" s="8"/>
      <c r="G110" s="8"/>
      <c r="H110" s="8"/>
      <c r="I110" s="8"/>
      <c r="J110" s="8"/>
    </row>
    <row r="111" spans="1:10" ht="15" x14ac:dyDescent="0.35">
      <c r="A111" s="5" t="s">
        <v>40</v>
      </c>
      <c r="B111" s="5"/>
      <c r="C111" s="5"/>
      <c r="D111" s="5"/>
      <c r="E111" s="9"/>
      <c r="F111" s="6" t="e">
        <f>SUM(F35,F40,F43,F46,F56,F59,F78,F84,F89,F92,F95,F104,F109)</f>
        <v>#REF!</v>
      </c>
      <c r="G111" s="6" t="e">
        <f>SUM(G35,G40,G43,G46,G56,G59,G78,G84,G89,G92,G95,G104,G109)</f>
        <v>#REF!</v>
      </c>
      <c r="H111" s="6" t="e">
        <f>SUM(H35,H40,H43,H46,H56,H59,H78,H84,H89,H92,H95,H104,H109)</f>
        <v>#REF!</v>
      </c>
      <c r="I111" s="6" t="e">
        <f>SUM(I35,I40,I43,I46,I56,I59,I78,I84,I89,I92,I95,I104,I109)</f>
        <v>#REF!</v>
      </c>
      <c r="J111" s="6" t="e">
        <f>SUM(J35,J40,J43,J46,J56,J59,J78,J84,J89,J92,J95,J104,J109)</f>
        <v>#REF!</v>
      </c>
    </row>
    <row r="113" spans="1:10" s="5" customFormat="1" ht="15" x14ac:dyDescent="0.35">
      <c r="A113" s="5" t="s">
        <v>83</v>
      </c>
      <c r="E113" s="9"/>
      <c r="F113" s="7" t="e">
        <f>+F14-F111</f>
        <v>#REF!</v>
      </c>
      <c r="G113" s="7" t="e">
        <f>+G14-G111</f>
        <v>#REF!</v>
      </c>
      <c r="H113" s="7" t="e">
        <f>+H14-H111</f>
        <v>#REF!</v>
      </c>
      <c r="I113" s="7" t="e">
        <f>+I14-I111</f>
        <v>#REF!</v>
      </c>
      <c r="J113" s="7" t="e">
        <f>+J14-J111</f>
        <v>#REF!</v>
      </c>
    </row>
  </sheetData>
  <mergeCells count="3">
    <mergeCell ref="A1:J1"/>
    <mergeCell ref="A2:J2"/>
    <mergeCell ref="A3:J3"/>
  </mergeCells>
  <phoneticPr fontId="0" type="noConversion"/>
  <printOptions horizontalCentered="1"/>
  <pageMargins left="0.25" right="0.25" top="0.5" bottom="0.5" header="0.5" footer="0.5"/>
  <pageSetup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workbookViewId="0">
      <selection activeCell="B30" sqref="B30"/>
    </sheetView>
  </sheetViews>
  <sheetFormatPr defaultColWidth="8.7109375" defaultRowHeight="12.75" x14ac:dyDescent="0.2"/>
  <cols>
    <col min="1" max="3" width="2.7109375" customWidth="1"/>
    <col min="4" max="4" width="41.140625" customWidth="1"/>
    <col min="5" max="5" width="32.7109375" style="3" hidden="1" customWidth="1"/>
    <col min="6" max="6" width="14.42578125" style="14" bestFit="1" customWidth="1"/>
    <col min="7" max="8" width="14.140625" style="14" bestFit="1" customWidth="1"/>
    <col min="9" max="12" width="10.28515625" bestFit="1" customWidth="1"/>
  </cols>
  <sheetData>
    <row r="1" spans="1:8" x14ac:dyDescent="0.2">
      <c r="A1" s="94" t="s">
        <v>146</v>
      </c>
      <c r="B1" s="94"/>
      <c r="C1" s="94"/>
      <c r="D1" s="94"/>
      <c r="E1" s="94"/>
      <c r="F1" s="94"/>
      <c r="G1" s="94"/>
      <c r="H1" s="94"/>
    </row>
    <row r="2" spans="1:8" x14ac:dyDescent="0.2">
      <c r="A2" s="94" t="s">
        <v>189</v>
      </c>
      <c r="B2" s="94"/>
      <c r="C2" s="94"/>
      <c r="D2" s="94"/>
      <c r="E2" s="94"/>
      <c r="F2" s="94"/>
      <c r="G2" s="94"/>
      <c r="H2" s="94"/>
    </row>
    <row r="3" spans="1:8" x14ac:dyDescent="0.2">
      <c r="A3" s="94" t="s">
        <v>162</v>
      </c>
      <c r="B3" s="94"/>
      <c r="C3" s="94"/>
      <c r="D3" s="94"/>
      <c r="E3" s="94"/>
      <c r="F3" s="94"/>
      <c r="G3" s="94"/>
      <c r="H3" s="94"/>
    </row>
    <row r="4" spans="1:8" x14ac:dyDescent="0.2">
      <c r="A4" s="9"/>
      <c r="B4" s="9"/>
      <c r="C4" s="9"/>
      <c r="D4" s="9"/>
      <c r="E4" s="9"/>
      <c r="F4" s="9"/>
      <c r="G4" s="9"/>
      <c r="H4" s="9"/>
    </row>
    <row r="5" spans="1:8" x14ac:dyDescent="0.2">
      <c r="A5" s="9"/>
      <c r="B5" s="9"/>
      <c r="C5" s="9"/>
      <c r="D5" s="9"/>
      <c r="E5" s="12" t="s">
        <v>125</v>
      </c>
      <c r="F5" s="12" t="s">
        <v>90</v>
      </c>
      <c r="G5" s="12" t="s">
        <v>163</v>
      </c>
      <c r="H5" s="12" t="s">
        <v>89</v>
      </c>
    </row>
    <row r="6" spans="1:8" x14ac:dyDescent="0.2">
      <c r="A6" s="9"/>
      <c r="B6" s="9"/>
      <c r="C6" s="9"/>
      <c r="D6" s="9"/>
      <c r="E6" s="12"/>
      <c r="F6" s="12"/>
      <c r="G6" s="12"/>
      <c r="H6" s="12"/>
    </row>
    <row r="7" spans="1:8" hidden="1" x14ac:dyDescent="0.2">
      <c r="A7" s="5" t="s">
        <v>60</v>
      </c>
      <c r="F7" s="14" t="e">
        <f>+#REF!</f>
        <v>#REF!</v>
      </c>
    </row>
    <row r="8" spans="1:8" hidden="1" x14ac:dyDescent="0.2">
      <c r="A8" s="5"/>
    </row>
    <row r="9" spans="1:8" hidden="1" x14ac:dyDescent="0.2">
      <c r="A9" s="5"/>
    </row>
    <row r="10" spans="1:8" ht="15" hidden="1" x14ac:dyDescent="0.35">
      <c r="A10" s="5" t="s">
        <v>103</v>
      </c>
      <c r="F10" s="6">
        <v>0</v>
      </c>
      <c r="G10" s="6"/>
      <c r="H10" s="6"/>
    </row>
    <row r="11" spans="1:8" hidden="1" x14ac:dyDescent="0.2">
      <c r="F11" s="15"/>
      <c r="G11" s="15"/>
      <c r="H11" s="15"/>
    </row>
    <row r="12" spans="1:8" x14ac:dyDescent="0.2">
      <c r="A12" s="5" t="s">
        <v>1</v>
      </c>
    </row>
    <row r="13" spans="1:8" x14ac:dyDescent="0.2">
      <c r="B13" t="s">
        <v>2</v>
      </c>
      <c r="E13" s="3" t="s">
        <v>51</v>
      </c>
      <c r="F13" s="14">
        <v>1085345</v>
      </c>
      <c r="G13" s="14">
        <v>0</v>
      </c>
      <c r="H13" s="14">
        <f>+F13-G13</f>
        <v>1085345</v>
      </c>
    </row>
    <row r="14" spans="1:8" x14ac:dyDescent="0.2">
      <c r="B14" t="s">
        <v>65</v>
      </c>
      <c r="F14" s="14">
        <v>206400</v>
      </c>
      <c r="G14" s="14">
        <f>+F14</f>
        <v>206400</v>
      </c>
      <c r="H14" s="14">
        <f t="shared" ref="H14:H67" si="0">+F14-G14</f>
        <v>0</v>
      </c>
    </row>
    <row r="15" spans="1:8" x14ac:dyDescent="0.2">
      <c r="B15" t="s">
        <v>88</v>
      </c>
      <c r="F15" s="14">
        <v>0</v>
      </c>
      <c r="G15" s="14">
        <v>0</v>
      </c>
      <c r="H15" s="14">
        <f t="shared" si="0"/>
        <v>0</v>
      </c>
    </row>
    <row r="16" spans="1:8" x14ac:dyDescent="0.2">
      <c r="B16" t="s">
        <v>142</v>
      </c>
      <c r="F16" s="14">
        <v>8460</v>
      </c>
      <c r="G16" s="14">
        <v>0</v>
      </c>
      <c r="H16" s="14">
        <f t="shared" si="0"/>
        <v>8460</v>
      </c>
    </row>
    <row r="17" spans="1:8" ht="15" x14ac:dyDescent="0.35">
      <c r="B17" t="s">
        <v>3</v>
      </c>
      <c r="E17" s="3" t="s">
        <v>63</v>
      </c>
      <c r="F17" s="4">
        <v>32900</v>
      </c>
      <c r="G17" s="4">
        <v>0</v>
      </c>
      <c r="H17" s="4">
        <f t="shared" si="0"/>
        <v>32900</v>
      </c>
    </row>
    <row r="18" spans="1:8" s="5" customFormat="1" ht="15" x14ac:dyDescent="0.35">
      <c r="A18" s="5" t="s">
        <v>49</v>
      </c>
      <c r="E18" s="9"/>
      <c r="F18" s="6">
        <v>1333105</v>
      </c>
      <c r="G18" s="6">
        <f>SUM(G13:G17)</f>
        <v>206400</v>
      </c>
      <c r="H18" s="6">
        <f>SUM(H13:H17)</f>
        <v>1126705</v>
      </c>
    </row>
    <row r="20" spans="1:8" x14ac:dyDescent="0.2">
      <c r="A20" s="5" t="s">
        <v>4</v>
      </c>
    </row>
    <row r="21" spans="1:8" x14ac:dyDescent="0.2">
      <c r="B21" s="5" t="s">
        <v>5</v>
      </c>
    </row>
    <row r="22" spans="1:8" x14ac:dyDescent="0.2">
      <c r="B22" s="5"/>
      <c r="C22" t="s">
        <v>6</v>
      </c>
      <c r="E22" s="3" t="e">
        <f>CONCATENATE(#REF!+Misc!B5," @ ",Tchr)</f>
        <v>#REF!</v>
      </c>
      <c r="F22" s="14">
        <v>405000</v>
      </c>
      <c r="G22" s="14">
        <v>0</v>
      </c>
      <c r="H22" s="14">
        <f t="shared" si="0"/>
        <v>405000</v>
      </c>
    </row>
    <row r="23" spans="1:8" x14ac:dyDescent="0.2">
      <c r="B23" s="5"/>
      <c r="C23" t="s">
        <v>156</v>
      </c>
      <c r="F23" s="14">
        <v>47040</v>
      </c>
      <c r="G23" s="14">
        <f>+F23</f>
        <v>47040</v>
      </c>
      <c r="H23" s="14">
        <f t="shared" si="0"/>
        <v>0</v>
      </c>
    </row>
    <row r="24" spans="1:8" ht="15" x14ac:dyDescent="0.35">
      <c r="C24" t="s">
        <v>96</v>
      </c>
      <c r="E24" s="3" t="str">
        <f>CONCATENATE(para1," @ ",Misc!B8)</f>
        <v>0 @ 17280</v>
      </c>
      <c r="F24" s="4">
        <v>51840</v>
      </c>
      <c r="G24" s="4">
        <v>0</v>
      </c>
      <c r="H24" s="4">
        <f t="shared" si="0"/>
        <v>51840</v>
      </c>
    </row>
    <row r="25" spans="1:8" ht="15" x14ac:dyDescent="0.35">
      <c r="D25" s="5" t="s">
        <v>41</v>
      </c>
      <c r="E25" s="9"/>
      <c r="F25" s="6">
        <v>503880</v>
      </c>
      <c r="G25" s="6">
        <f>SUM(G22:G24)</f>
        <v>47040</v>
      </c>
      <c r="H25" s="6">
        <f>SUM(H22:H24)</f>
        <v>456840</v>
      </c>
    </row>
    <row r="26" spans="1:8" x14ac:dyDescent="0.2">
      <c r="C26" t="s">
        <v>7</v>
      </c>
      <c r="E26" s="13">
        <v>1.4999999999999999E-2</v>
      </c>
      <c r="F26" s="14">
        <v>7558.2</v>
      </c>
      <c r="G26" s="14">
        <f>+G25*0.015</f>
        <v>705.6</v>
      </c>
      <c r="H26" s="14">
        <f t="shared" si="0"/>
        <v>6852.5999999999995</v>
      </c>
    </row>
    <row r="27" spans="1:8" x14ac:dyDescent="0.2">
      <c r="C27" t="s">
        <v>8</v>
      </c>
      <c r="E27" s="3" t="s">
        <v>52</v>
      </c>
      <c r="F27" s="14">
        <v>41570.82</v>
      </c>
      <c r="G27" s="14">
        <f>+G25*0.0765+0.027*G25</f>
        <v>4868.6399999999994</v>
      </c>
      <c r="H27" s="14">
        <f t="shared" si="0"/>
        <v>36702.18</v>
      </c>
    </row>
    <row r="28" spans="1:8" x14ac:dyDescent="0.2">
      <c r="C28" t="s">
        <v>9</v>
      </c>
      <c r="E28" s="3" t="str">
        <f>CONCATENATE("$",ins," per month per employee")</f>
        <v>$266.666666666666 per month per employee</v>
      </c>
      <c r="F28" s="14">
        <v>39000</v>
      </c>
      <c r="G28" s="14">
        <v>0</v>
      </c>
      <c r="H28" s="14">
        <f t="shared" si="0"/>
        <v>39000</v>
      </c>
    </row>
    <row r="29" spans="1:8" ht="15" x14ac:dyDescent="0.35">
      <c r="C29" t="s">
        <v>10</v>
      </c>
      <c r="E29" s="11" t="s">
        <v>53</v>
      </c>
      <c r="F29" s="4">
        <v>5038.8</v>
      </c>
      <c r="G29" s="4">
        <f>+G25*0.01</f>
        <v>470.40000000000003</v>
      </c>
      <c r="H29" s="4">
        <f t="shared" si="0"/>
        <v>4568.4000000000005</v>
      </c>
    </row>
    <row r="30" spans="1:8" ht="15" x14ac:dyDescent="0.35">
      <c r="D30" s="5" t="s">
        <v>42</v>
      </c>
      <c r="E30" s="9"/>
      <c r="F30" s="6">
        <v>93167.82</v>
      </c>
      <c r="G30" s="6">
        <f>SUM(G26:G29)</f>
        <v>6044.6399999999994</v>
      </c>
      <c r="H30" s="6">
        <f>SUM(H26:H29)</f>
        <v>87123.18</v>
      </c>
    </row>
    <row r="31" spans="1:8" x14ac:dyDescent="0.2">
      <c r="C31" t="s">
        <v>11</v>
      </c>
      <c r="E31" s="3" t="s">
        <v>140</v>
      </c>
      <c r="F31" s="14">
        <v>9400</v>
      </c>
      <c r="G31" s="14">
        <f>+F31</f>
        <v>9400</v>
      </c>
      <c r="H31" s="14">
        <f t="shared" si="0"/>
        <v>0</v>
      </c>
    </row>
    <row r="32" spans="1:8" x14ac:dyDescent="0.2">
      <c r="C32" t="s">
        <v>12</v>
      </c>
      <c r="E32" s="3" t="s">
        <v>54</v>
      </c>
      <c r="F32" s="14">
        <v>1000</v>
      </c>
      <c r="G32" s="14">
        <f t="shared" ref="G32:G38" si="1">+F32</f>
        <v>1000</v>
      </c>
      <c r="H32" s="14">
        <f t="shared" si="0"/>
        <v>0</v>
      </c>
    </row>
    <row r="33" spans="2:8" x14ac:dyDescent="0.2">
      <c r="C33" t="s">
        <v>13</v>
      </c>
      <c r="E33" s="3" t="s">
        <v>106</v>
      </c>
      <c r="F33" s="14">
        <v>14100</v>
      </c>
      <c r="G33" s="14">
        <f t="shared" si="1"/>
        <v>14100</v>
      </c>
      <c r="H33" s="14">
        <f t="shared" si="0"/>
        <v>0</v>
      </c>
    </row>
    <row r="34" spans="2:8" hidden="1" x14ac:dyDescent="0.2">
      <c r="C34" t="s">
        <v>115</v>
      </c>
      <c r="E34" s="3" t="s">
        <v>137</v>
      </c>
      <c r="F34" s="14">
        <v>0</v>
      </c>
      <c r="G34" s="14">
        <f t="shared" si="1"/>
        <v>0</v>
      </c>
      <c r="H34" s="14">
        <f t="shared" si="0"/>
        <v>0</v>
      </c>
    </row>
    <row r="35" spans="2:8" x14ac:dyDescent="0.2">
      <c r="C35" t="s">
        <v>14</v>
      </c>
      <c r="E35" s="3" t="s">
        <v>68</v>
      </c>
      <c r="F35" s="14">
        <v>27298.040365986628</v>
      </c>
      <c r="G35" s="14">
        <v>26819.947610218456</v>
      </c>
      <c r="H35" s="14">
        <f t="shared" si="0"/>
        <v>478.09275576817163</v>
      </c>
    </row>
    <row r="36" spans="2:8" x14ac:dyDescent="0.2">
      <c r="C36" t="s">
        <v>69</v>
      </c>
      <c r="E36" s="3" t="s">
        <v>105</v>
      </c>
      <c r="F36" s="14">
        <v>1500</v>
      </c>
      <c r="G36" s="14">
        <f t="shared" si="1"/>
        <v>1500</v>
      </c>
      <c r="H36" s="14">
        <f t="shared" si="0"/>
        <v>0</v>
      </c>
    </row>
    <row r="37" spans="2:8" x14ac:dyDescent="0.2">
      <c r="C37" t="s">
        <v>15</v>
      </c>
      <c r="E37" s="3" t="s">
        <v>107</v>
      </c>
      <c r="F37" s="14">
        <v>11616.187389781544</v>
      </c>
      <c r="G37" s="14">
        <f t="shared" si="1"/>
        <v>11616.187389781544</v>
      </c>
      <c r="H37" s="14">
        <f t="shared" si="0"/>
        <v>0</v>
      </c>
    </row>
    <row r="38" spans="2:8" x14ac:dyDescent="0.2">
      <c r="C38" t="s">
        <v>16</v>
      </c>
      <c r="E38" s="3" t="s">
        <v>54</v>
      </c>
      <c r="F38" s="14">
        <v>2500</v>
      </c>
      <c r="G38" s="14">
        <f t="shared" si="1"/>
        <v>2500</v>
      </c>
      <c r="H38" s="14">
        <f t="shared" si="0"/>
        <v>0</v>
      </c>
    </row>
    <row r="39" spans="2:8" ht="15" x14ac:dyDescent="0.35">
      <c r="C39" t="s">
        <v>17</v>
      </c>
      <c r="E39" s="3" t="s">
        <v>116</v>
      </c>
      <c r="F39" s="4">
        <v>3000</v>
      </c>
      <c r="G39" s="4">
        <v>0</v>
      </c>
      <c r="H39" s="4">
        <f t="shared" si="0"/>
        <v>3000</v>
      </c>
    </row>
    <row r="40" spans="2:8" ht="15" x14ac:dyDescent="0.35">
      <c r="D40" s="5" t="s">
        <v>43</v>
      </c>
      <c r="E40" s="9"/>
      <c r="F40" s="6">
        <v>70414.227755768166</v>
      </c>
      <c r="G40" s="6">
        <f>SUM(G31:G39)</f>
        <v>66936.135000000009</v>
      </c>
      <c r="H40" s="6">
        <f>SUM(H31:H39)</f>
        <v>3478.0927557681716</v>
      </c>
    </row>
    <row r="41" spans="2:8" ht="15" x14ac:dyDescent="0.35">
      <c r="B41" s="5" t="s">
        <v>18</v>
      </c>
      <c r="C41" s="5"/>
      <c r="D41" s="5"/>
      <c r="E41" s="9"/>
      <c r="F41" s="6">
        <v>667462.04775576817</v>
      </c>
      <c r="G41" s="6">
        <f>SUM(G40,G30,G25)</f>
        <v>120020.77500000001</v>
      </c>
      <c r="H41" s="6">
        <f>SUM(H40,H30,H25)</f>
        <v>547441.27275576815</v>
      </c>
    </row>
    <row r="43" spans="2:8" hidden="1" x14ac:dyDescent="0.2">
      <c r="B43" s="5" t="s">
        <v>66</v>
      </c>
    </row>
    <row r="44" spans="2:8" ht="15" hidden="1" x14ac:dyDescent="0.35">
      <c r="B44" s="5"/>
      <c r="C44" t="s">
        <v>109</v>
      </c>
      <c r="F44" s="4">
        <v>0</v>
      </c>
      <c r="G44" s="4">
        <v>0</v>
      </c>
      <c r="H44" s="4">
        <f t="shared" si="0"/>
        <v>0</v>
      </c>
    </row>
    <row r="45" spans="2:8" ht="15" hidden="1" x14ac:dyDescent="0.35">
      <c r="B45" s="5"/>
      <c r="C45" t="s">
        <v>114</v>
      </c>
      <c r="F45" s="4">
        <v>0</v>
      </c>
      <c r="G45" s="4"/>
      <c r="H45" s="14">
        <f t="shared" si="0"/>
        <v>0</v>
      </c>
    </row>
    <row r="46" spans="2:8" ht="15" hidden="1" x14ac:dyDescent="0.35">
      <c r="B46" s="5"/>
      <c r="D46" s="5" t="s">
        <v>110</v>
      </c>
      <c r="F46" s="6">
        <v>0</v>
      </c>
      <c r="G46" s="6">
        <f>SUM(G44:G45)</f>
        <v>0</v>
      </c>
      <c r="H46" s="6">
        <f>SUM(H44:H45)</f>
        <v>0</v>
      </c>
    </row>
    <row r="47" spans="2:8" hidden="1" x14ac:dyDescent="0.2">
      <c r="B47" s="5"/>
      <c r="C47" t="s">
        <v>7</v>
      </c>
      <c r="E47" s="13">
        <v>1.4999999999999999E-2</v>
      </c>
      <c r="F47" s="14">
        <v>0</v>
      </c>
      <c r="G47" s="14">
        <v>0</v>
      </c>
      <c r="H47" s="14">
        <f t="shared" si="0"/>
        <v>0</v>
      </c>
    </row>
    <row r="48" spans="2:8" hidden="1" x14ac:dyDescent="0.2">
      <c r="B48" s="5"/>
      <c r="C48" t="s">
        <v>8</v>
      </c>
      <c r="E48" s="3" t="s">
        <v>52</v>
      </c>
      <c r="F48" s="14">
        <v>0</v>
      </c>
      <c r="G48" s="14">
        <v>0</v>
      </c>
      <c r="H48" s="14">
        <f t="shared" si="0"/>
        <v>0</v>
      </c>
    </row>
    <row r="49" spans="2:8" hidden="1" x14ac:dyDescent="0.2">
      <c r="B49" s="5"/>
      <c r="C49" t="s">
        <v>9</v>
      </c>
      <c r="E49" s="3" t="str">
        <f>CONCATENATE(ins," per month per employee")</f>
        <v>266.666666666666 per month per employee</v>
      </c>
      <c r="F49" s="14">
        <v>0</v>
      </c>
      <c r="G49" s="14">
        <v>0</v>
      </c>
      <c r="H49" s="14">
        <f t="shared" si="0"/>
        <v>0</v>
      </c>
    </row>
    <row r="50" spans="2:8" ht="15" hidden="1" x14ac:dyDescent="0.35">
      <c r="B50" s="5"/>
      <c r="C50" t="s">
        <v>10</v>
      </c>
      <c r="E50" s="11" t="s">
        <v>53</v>
      </c>
      <c r="F50" s="4">
        <v>0</v>
      </c>
      <c r="G50" s="4">
        <v>0</v>
      </c>
      <c r="H50" s="4">
        <f t="shared" si="0"/>
        <v>0</v>
      </c>
    </row>
    <row r="51" spans="2:8" ht="15" hidden="1" x14ac:dyDescent="0.35">
      <c r="B51" s="5"/>
      <c r="D51" s="5" t="s">
        <v>111</v>
      </c>
      <c r="F51" s="6">
        <v>0</v>
      </c>
      <c r="G51" s="6">
        <f>SUM(G47:G50)</f>
        <v>0</v>
      </c>
      <c r="H51" s="6">
        <f>SUM(H47:H50)</f>
        <v>0</v>
      </c>
    </row>
    <row r="52" spans="2:8" ht="15" hidden="1" x14ac:dyDescent="0.35">
      <c r="B52" s="5"/>
      <c r="C52" t="s">
        <v>13</v>
      </c>
      <c r="E52" s="3" t="s">
        <v>72</v>
      </c>
      <c r="F52" s="4">
        <v>0</v>
      </c>
      <c r="G52" s="4">
        <v>0</v>
      </c>
      <c r="H52" s="4">
        <f t="shared" si="0"/>
        <v>0</v>
      </c>
    </row>
    <row r="53" spans="2:8" ht="15" hidden="1" x14ac:dyDescent="0.35">
      <c r="B53" s="5"/>
      <c r="D53" s="5" t="s">
        <v>112</v>
      </c>
      <c r="F53" s="6">
        <v>0</v>
      </c>
      <c r="G53" s="6">
        <f>SUM(G52)</f>
        <v>0</v>
      </c>
      <c r="H53" s="6">
        <f>SUM(H52)</f>
        <v>0</v>
      </c>
    </row>
    <row r="54" spans="2:8" ht="15" hidden="1" x14ac:dyDescent="0.35">
      <c r="B54" s="5" t="s">
        <v>84</v>
      </c>
      <c r="F54" s="6">
        <v>0</v>
      </c>
      <c r="G54" s="6">
        <f>+G46+G51+G53</f>
        <v>0</v>
      </c>
      <c r="H54" s="6">
        <f>+H46+H51+H53</f>
        <v>0</v>
      </c>
    </row>
    <row r="55" spans="2:8" ht="15" hidden="1" x14ac:dyDescent="0.35">
      <c r="B55" s="5"/>
      <c r="F55" s="6"/>
      <c r="G55" s="6"/>
      <c r="H55" s="6"/>
    </row>
    <row r="56" spans="2:8" hidden="1" x14ac:dyDescent="0.2">
      <c r="B56" s="5" t="s">
        <v>117</v>
      </c>
    </row>
    <row r="57" spans="2:8" ht="15" hidden="1" x14ac:dyDescent="0.35">
      <c r="B57" s="5"/>
      <c r="C57" t="s">
        <v>118</v>
      </c>
      <c r="F57" s="4">
        <v>0</v>
      </c>
      <c r="G57" s="4">
        <v>0</v>
      </c>
      <c r="H57" s="4">
        <f t="shared" si="0"/>
        <v>0</v>
      </c>
    </row>
    <row r="58" spans="2:8" ht="15" hidden="1" x14ac:dyDescent="0.35">
      <c r="B58" s="5"/>
      <c r="C58" t="s">
        <v>114</v>
      </c>
      <c r="F58" s="4">
        <v>0</v>
      </c>
      <c r="G58" s="4"/>
      <c r="H58" s="14">
        <f t="shared" si="0"/>
        <v>0</v>
      </c>
    </row>
    <row r="59" spans="2:8" ht="15" hidden="1" x14ac:dyDescent="0.35">
      <c r="B59" s="5"/>
      <c r="D59" s="5" t="s">
        <v>121</v>
      </c>
      <c r="F59" s="6">
        <v>0</v>
      </c>
      <c r="G59" s="6">
        <f>SUM(G57:G58)</f>
        <v>0</v>
      </c>
      <c r="H59" s="6">
        <f>SUM(H57:H58)</f>
        <v>0</v>
      </c>
    </row>
    <row r="60" spans="2:8" hidden="1" x14ac:dyDescent="0.2">
      <c r="B60" s="5"/>
      <c r="C60" t="s">
        <v>7</v>
      </c>
      <c r="E60" s="13">
        <v>1.4999999999999999E-2</v>
      </c>
      <c r="F60" s="14">
        <v>0</v>
      </c>
      <c r="G60" s="14">
        <v>0</v>
      </c>
      <c r="H60" s="14">
        <f t="shared" si="0"/>
        <v>0</v>
      </c>
    </row>
    <row r="61" spans="2:8" hidden="1" x14ac:dyDescent="0.2">
      <c r="B61" s="5"/>
      <c r="C61" t="s">
        <v>8</v>
      </c>
      <c r="E61" s="3" t="s">
        <v>52</v>
      </c>
      <c r="F61" s="14">
        <v>0</v>
      </c>
      <c r="G61" s="14">
        <v>0</v>
      </c>
      <c r="H61" s="14">
        <f t="shared" si="0"/>
        <v>0</v>
      </c>
    </row>
    <row r="62" spans="2:8" hidden="1" x14ac:dyDescent="0.2">
      <c r="B62" s="5"/>
      <c r="C62" t="s">
        <v>9</v>
      </c>
      <c r="E62" s="3" t="str">
        <f>CONCATENATE(ins," per month per employee")</f>
        <v>266.666666666666 per month per employee</v>
      </c>
      <c r="F62" s="14">
        <v>0</v>
      </c>
      <c r="G62" s="14">
        <v>0</v>
      </c>
      <c r="H62" s="14">
        <f t="shared" si="0"/>
        <v>0</v>
      </c>
    </row>
    <row r="63" spans="2:8" ht="15" hidden="1" x14ac:dyDescent="0.35">
      <c r="B63" s="5"/>
      <c r="C63" t="s">
        <v>10</v>
      </c>
      <c r="E63" s="11" t="s">
        <v>53</v>
      </c>
      <c r="F63" s="4">
        <v>0</v>
      </c>
      <c r="G63" s="4">
        <v>0</v>
      </c>
      <c r="H63" s="4">
        <f t="shared" si="0"/>
        <v>0</v>
      </c>
    </row>
    <row r="64" spans="2:8" ht="15" hidden="1" x14ac:dyDescent="0.35">
      <c r="B64" s="5"/>
      <c r="D64" s="5" t="s">
        <v>122</v>
      </c>
      <c r="F64" s="6">
        <v>0</v>
      </c>
      <c r="G64" s="6">
        <f>SUM(G60:G63)</f>
        <v>0</v>
      </c>
      <c r="H64" s="6">
        <f>SUM(H60:H63)</f>
        <v>0</v>
      </c>
    </row>
    <row r="65" spans="2:8" hidden="1" x14ac:dyDescent="0.2">
      <c r="B65" s="5"/>
      <c r="C65" t="s">
        <v>13</v>
      </c>
      <c r="D65" s="5"/>
      <c r="F65" s="14">
        <v>0</v>
      </c>
      <c r="G65" s="14">
        <v>0</v>
      </c>
      <c r="H65" s="14">
        <f t="shared" si="0"/>
        <v>0</v>
      </c>
    </row>
    <row r="66" spans="2:8" hidden="1" x14ac:dyDescent="0.2">
      <c r="B66" s="5"/>
      <c r="C66" t="s">
        <v>120</v>
      </c>
      <c r="D66" s="5"/>
      <c r="F66" s="14">
        <v>0</v>
      </c>
      <c r="G66" s="14">
        <v>0</v>
      </c>
      <c r="H66" s="14">
        <f t="shared" si="0"/>
        <v>0</v>
      </c>
    </row>
    <row r="67" spans="2:8" ht="15" hidden="1" x14ac:dyDescent="0.35">
      <c r="B67" s="5"/>
      <c r="C67" t="s">
        <v>119</v>
      </c>
      <c r="F67" s="4">
        <v>0</v>
      </c>
      <c r="G67" s="4">
        <v>0</v>
      </c>
      <c r="H67" s="4">
        <f t="shared" si="0"/>
        <v>0</v>
      </c>
    </row>
    <row r="68" spans="2:8" ht="15" hidden="1" x14ac:dyDescent="0.35">
      <c r="B68" s="5"/>
      <c r="D68" s="5" t="s">
        <v>123</v>
      </c>
      <c r="F68" s="6">
        <v>0</v>
      </c>
      <c r="G68" s="6">
        <f>SUM(G65:G67)</f>
        <v>0</v>
      </c>
      <c r="H68" s="6">
        <f>SUM(H65:H67)</f>
        <v>0</v>
      </c>
    </row>
    <row r="69" spans="2:8" ht="15" hidden="1" x14ac:dyDescent="0.35">
      <c r="B69" s="5" t="s">
        <v>124</v>
      </c>
      <c r="F69" s="6">
        <v>0</v>
      </c>
      <c r="G69" s="6">
        <f>+G59+G64+G68</f>
        <v>0</v>
      </c>
      <c r="H69" s="6">
        <f>+H59+H64+H68</f>
        <v>0</v>
      </c>
    </row>
    <row r="70" spans="2:8" hidden="1" x14ac:dyDescent="0.2"/>
    <row r="71" spans="2:8" x14ac:dyDescent="0.2">
      <c r="B71" s="5" t="s">
        <v>91</v>
      </c>
    </row>
    <row r="72" spans="2:8" ht="15" x14ac:dyDescent="0.35">
      <c r="C72" s="5" t="s">
        <v>11</v>
      </c>
      <c r="D72" s="5"/>
      <c r="E72" s="3" t="s">
        <v>54</v>
      </c>
      <c r="F72" s="6">
        <v>4500</v>
      </c>
      <c r="G72" s="6">
        <f>+F72</f>
        <v>4500</v>
      </c>
      <c r="H72" s="6">
        <f>+F72-G72</f>
        <v>0</v>
      </c>
    </row>
    <row r="73" spans="2:8" x14ac:dyDescent="0.2">
      <c r="E73"/>
      <c r="F73"/>
      <c r="G73"/>
      <c r="H73"/>
    </row>
    <row r="74" spans="2:8" x14ac:dyDescent="0.2">
      <c r="B74" s="5" t="s">
        <v>19</v>
      </c>
    </row>
    <row r="75" spans="2:8" ht="15" x14ac:dyDescent="0.35">
      <c r="C75" s="5" t="s">
        <v>11</v>
      </c>
      <c r="D75" s="5"/>
      <c r="E75" s="3" t="s">
        <v>54</v>
      </c>
      <c r="F75" s="6">
        <v>7500</v>
      </c>
      <c r="G75" s="6" t="e">
        <f>+#REF!*750</f>
        <v>#REF!</v>
      </c>
      <c r="H75" s="6" t="e">
        <f>+F75-G75</f>
        <v>#REF!</v>
      </c>
    </row>
    <row r="77" spans="2:8" x14ac:dyDescent="0.2">
      <c r="B77" s="5" t="s">
        <v>24</v>
      </c>
    </row>
    <row r="78" spans="2:8" x14ac:dyDescent="0.2">
      <c r="C78" t="s">
        <v>20</v>
      </c>
      <c r="E78" s="3" t="s">
        <v>54</v>
      </c>
      <c r="F78" s="14">
        <v>2000</v>
      </c>
      <c r="G78" s="14">
        <v>0</v>
      </c>
      <c r="H78" s="14">
        <f t="shared" ref="H78:H141" si="2">+F78-G78</f>
        <v>2000</v>
      </c>
    </row>
    <row r="79" spans="2:8" x14ac:dyDescent="0.2">
      <c r="C79" t="s">
        <v>157</v>
      </c>
      <c r="E79" s="3" t="s">
        <v>54</v>
      </c>
      <c r="F79" s="14">
        <v>108534.5</v>
      </c>
      <c r="G79" s="14">
        <v>0</v>
      </c>
      <c r="H79" s="14">
        <f t="shared" si="2"/>
        <v>108534.5</v>
      </c>
    </row>
    <row r="80" spans="2:8" x14ac:dyDescent="0.2">
      <c r="C80" t="s">
        <v>76</v>
      </c>
      <c r="E80" s="3" t="s">
        <v>54</v>
      </c>
      <c r="F80" s="14">
        <v>9000</v>
      </c>
      <c r="G80" s="14">
        <v>0</v>
      </c>
      <c r="H80" s="14">
        <f t="shared" si="2"/>
        <v>9000</v>
      </c>
    </row>
    <row r="81" spans="2:8" x14ac:dyDescent="0.2">
      <c r="C81" t="s">
        <v>93</v>
      </c>
      <c r="E81" s="3" t="s">
        <v>54</v>
      </c>
      <c r="F81" s="14">
        <v>4000</v>
      </c>
      <c r="G81" s="14">
        <f>+F81</f>
        <v>4000</v>
      </c>
      <c r="H81" s="14">
        <f t="shared" si="2"/>
        <v>0</v>
      </c>
    </row>
    <row r="82" spans="2:8" x14ac:dyDescent="0.2">
      <c r="C82" t="s">
        <v>12</v>
      </c>
      <c r="E82" s="3" t="s">
        <v>54</v>
      </c>
      <c r="F82" s="14">
        <v>4000</v>
      </c>
      <c r="G82" s="14">
        <f>+F82</f>
        <v>4000</v>
      </c>
      <c r="H82" s="14">
        <f t="shared" si="2"/>
        <v>0</v>
      </c>
    </row>
    <row r="83" spans="2:8" x14ac:dyDescent="0.2">
      <c r="C83" t="s">
        <v>21</v>
      </c>
      <c r="E83" s="3" t="s">
        <v>54</v>
      </c>
      <c r="F83" s="14">
        <v>9000</v>
      </c>
      <c r="G83" s="14">
        <v>0</v>
      </c>
      <c r="H83" s="14">
        <f t="shared" si="2"/>
        <v>9000</v>
      </c>
    </row>
    <row r="84" spans="2:8" x14ac:dyDescent="0.2">
      <c r="C84" t="s">
        <v>22</v>
      </c>
      <c r="F84" s="14">
        <v>54267.25</v>
      </c>
      <c r="G84" s="14">
        <v>0</v>
      </c>
      <c r="H84" s="14">
        <f t="shared" si="2"/>
        <v>54267.25</v>
      </c>
    </row>
    <row r="85" spans="2:8" ht="15" x14ac:dyDescent="0.35">
      <c r="C85" t="s">
        <v>92</v>
      </c>
      <c r="E85" s="16">
        <v>0.03</v>
      </c>
      <c r="F85" s="4">
        <v>6192</v>
      </c>
      <c r="G85" s="4">
        <f>+F85</f>
        <v>6192</v>
      </c>
      <c r="H85" s="4">
        <f t="shared" si="2"/>
        <v>0</v>
      </c>
    </row>
    <row r="86" spans="2:8" ht="15" x14ac:dyDescent="0.35">
      <c r="B86" s="5" t="s">
        <v>23</v>
      </c>
      <c r="C86" s="5"/>
      <c r="D86" s="5"/>
      <c r="E86" s="9"/>
      <c r="F86" s="6">
        <v>196993.75</v>
      </c>
      <c r="G86" s="6">
        <f>SUM(G78:G85)</f>
        <v>14192</v>
      </c>
      <c r="H86" s="6">
        <f>SUM(H78:H85)</f>
        <v>182801.75</v>
      </c>
    </row>
    <row r="87" spans="2:8" x14ac:dyDescent="0.2">
      <c r="F87" s="3"/>
      <c r="G87" s="3"/>
      <c r="H87" s="14">
        <f t="shared" si="2"/>
        <v>0</v>
      </c>
    </row>
    <row r="88" spans="2:8" x14ac:dyDescent="0.2">
      <c r="B88" s="5" t="s">
        <v>26</v>
      </c>
      <c r="F88" s="3"/>
      <c r="G88" s="3"/>
      <c r="H88" s="14">
        <f t="shared" si="2"/>
        <v>0</v>
      </c>
    </row>
    <row r="89" spans="2:8" x14ac:dyDescent="0.2">
      <c r="C89" t="s">
        <v>131</v>
      </c>
      <c r="E89" s="3" t="s">
        <v>135</v>
      </c>
      <c r="F89" s="14">
        <v>81250</v>
      </c>
      <c r="G89" s="14">
        <f>+F89/13</f>
        <v>6250</v>
      </c>
      <c r="H89" s="14">
        <f t="shared" si="2"/>
        <v>75000</v>
      </c>
    </row>
    <row r="90" spans="2:8" hidden="1" x14ac:dyDescent="0.2">
      <c r="C90" t="s">
        <v>132</v>
      </c>
      <c r="E90" s="3" t="s">
        <v>145</v>
      </c>
      <c r="F90" s="14">
        <v>0</v>
      </c>
      <c r="G90" s="14">
        <v>0</v>
      </c>
      <c r="H90" s="14">
        <f t="shared" si="2"/>
        <v>0</v>
      </c>
    </row>
    <row r="91" spans="2:8" hidden="1" x14ac:dyDescent="0.2">
      <c r="C91" t="s">
        <v>133</v>
      </c>
      <c r="E91" s="3" t="s">
        <v>136</v>
      </c>
      <c r="F91" s="14">
        <v>0</v>
      </c>
      <c r="H91" s="14">
        <f t="shared" si="2"/>
        <v>0</v>
      </c>
    </row>
    <row r="92" spans="2:8" ht="15" x14ac:dyDescent="0.35">
      <c r="C92" t="s">
        <v>134</v>
      </c>
      <c r="E92" s="3" t="s">
        <v>135</v>
      </c>
      <c r="F92" s="4">
        <v>33800</v>
      </c>
      <c r="G92" s="4">
        <v>2600</v>
      </c>
      <c r="H92" s="4">
        <f t="shared" si="2"/>
        <v>31200</v>
      </c>
    </row>
    <row r="93" spans="2:8" ht="15" x14ac:dyDescent="0.35">
      <c r="D93" s="5" t="s">
        <v>27</v>
      </c>
      <c r="E93" s="9"/>
      <c r="F93" s="6">
        <v>115050</v>
      </c>
      <c r="G93" s="6">
        <f>SUM(G89:G92)</f>
        <v>8850</v>
      </c>
      <c r="H93" s="6">
        <f>SUM(H89:H92)</f>
        <v>106200</v>
      </c>
    </row>
    <row r="94" spans="2:8" x14ac:dyDescent="0.2">
      <c r="C94" t="s">
        <v>7</v>
      </c>
      <c r="E94" s="13">
        <v>1.4999999999999999E-2</v>
      </c>
      <c r="F94" s="14">
        <v>1725.75</v>
      </c>
      <c r="G94" s="14">
        <f>+G93*0.015</f>
        <v>132.75</v>
      </c>
      <c r="H94" s="14">
        <f t="shared" si="2"/>
        <v>1593</v>
      </c>
    </row>
    <row r="95" spans="2:8" x14ac:dyDescent="0.2">
      <c r="C95" t="s">
        <v>8</v>
      </c>
      <c r="E95" s="3" t="s">
        <v>52</v>
      </c>
      <c r="F95" s="14">
        <v>9179.3250000000007</v>
      </c>
      <c r="G95" s="14">
        <f>+G93*0.0765+0.027*G93</f>
        <v>915.97499999999991</v>
      </c>
      <c r="H95" s="14">
        <f t="shared" si="2"/>
        <v>8263.35</v>
      </c>
    </row>
    <row r="96" spans="2:8" x14ac:dyDescent="0.2">
      <c r="C96" t="s">
        <v>9</v>
      </c>
      <c r="E96" s="3" t="str">
        <f>CONCATENATE(ins," per month per employee")</f>
        <v>266.666666666666 per month per employee</v>
      </c>
      <c r="F96" s="14">
        <v>6500</v>
      </c>
      <c r="G96" s="14">
        <f>2*ins*1</f>
        <v>533.3333333333328</v>
      </c>
      <c r="H96" s="14">
        <f t="shared" si="2"/>
        <v>5966.666666666667</v>
      </c>
    </row>
    <row r="97" spans="2:8" ht="15" x14ac:dyDescent="0.35">
      <c r="C97" t="s">
        <v>10</v>
      </c>
      <c r="E97" s="11" t="s">
        <v>53</v>
      </c>
      <c r="F97" s="4">
        <v>1150.5</v>
      </c>
      <c r="G97" s="4">
        <f>+G93*0.01</f>
        <v>88.5</v>
      </c>
      <c r="H97" s="4">
        <f t="shared" si="2"/>
        <v>1062</v>
      </c>
    </row>
    <row r="98" spans="2:8" ht="15" x14ac:dyDescent="0.35">
      <c r="D98" s="5" t="s">
        <v>28</v>
      </c>
      <c r="E98" s="9"/>
      <c r="F98" s="6">
        <v>18555.575000000001</v>
      </c>
      <c r="G98" s="6">
        <f>SUM(G94:G97)</f>
        <v>1670.5583333333327</v>
      </c>
      <c r="H98" s="6">
        <f>SUM(H94:H97)</f>
        <v>16885.016666666666</v>
      </c>
    </row>
    <row r="99" spans="2:8" x14ac:dyDescent="0.2">
      <c r="C99" t="s">
        <v>12</v>
      </c>
      <c r="E99" s="3" t="s">
        <v>54</v>
      </c>
      <c r="F99" s="14">
        <v>2000</v>
      </c>
      <c r="G99" s="14">
        <f t="shared" ref="G99:G105" si="3">+F99</f>
        <v>2000</v>
      </c>
      <c r="H99" s="14">
        <f t="shared" si="2"/>
        <v>0</v>
      </c>
    </row>
    <row r="100" spans="2:8" x14ac:dyDescent="0.2">
      <c r="C100" t="s">
        <v>29</v>
      </c>
      <c r="E100" s="3" t="s">
        <v>138</v>
      </c>
      <c r="F100" s="14">
        <v>9000</v>
      </c>
      <c r="G100" s="14">
        <f t="shared" si="3"/>
        <v>9000</v>
      </c>
      <c r="H100" s="14">
        <f t="shared" si="2"/>
        <v>0</v>
      </c>
    </row>
    <row r="101" spans="2:8" x14ac:dyDescent="0.2">
      <c r="C101" t="s">
        <v>30</v>
      </c>
      <c r="E101" s="3" t="s">
        <v>54</v>
      </c>
      <c r="F101" s="14">
        <v>3600</v>
      </c>
      <c r="G101" s="14">
        <f t="shared" si="3"/>
        <v>3600</v>
      </c>
      <c r="H101" s="14">
        <f t="shared" si="2"/>
        <v>0</v>
      </c>
    </row>
    <row r="102" spans="2:8" x14ac:dyDescent="0.2">
      <c r="C102" t="s">
        <v>73</v>
      </c>
      <c r="E102" s="3" t="s">
        <v>54</v>
      </c>
      <c r="F102" s="14">
        <v>7500</v>
      </c>
      <c r="G102" s="14">
        <f t="shared" si="3"/>
        <v>7500</v>
      </c>
      <c r="H102" s="14">
        <f t="shared" si="2"/>
        <v>0</v>
      </c>
    </row>
    <row r="103" spans="2:8" x14ac:dyDescent="0.2">
      <c r="C103" t="s">
        <v>13</v>
      </c>
      <c r="E103" s="3" t="s">
        <v>54</v>
      </c>
      <c r="F103" s="14">
        <v>3600</v>
      </c>
      <c r="G103" s="14">
        <f t="shared" si="3"/>
        <v>3600</v>
      </c>
      <c r="H103" s="14">
        <f t="shared" si="2"/>
        <v>0</v>
      </c>
    </row>
    <row r="104" spans="2:8" x14ac:dyDescent="0.2">
      <c r="C104" t="s">
        <v>15</v>
      </c>
      <c r="E104" s="3" t="s">
        <v>54</v>
      </c>
      <c r="F104" s="14">
        <v>4000</v>
      </c>
      <c r="G104" s="14">
        <f t="shared" si="3"/>
        <v>4000</v>
      </c>
      <c r="H104" s="14">
        <f t="shared" si="2"/>
        <v>0</v>
      </c>
    </row>
    <row r="105" spans="2:8" ht="15" x14ac:dyDescent="0.35">
      <c r="C105" t="s">
        <v>16</v>
      </c>
      <c r="E105" s="3" t="s">
        <v>54</v>
      </c>
      <c r="F105" s="4">
        <v>1500</v>
      </c>
      <c r="G105" s="4">
        <f t="shared" si="3"/>
        <v>1500</v>
      </c>
      <c r="H105" s="4">
        <f t="shared" si="2"/>
        <v>0</v>
      </c>
    </row>
    <row r="106" spans="2:8" ht="15" x14ac:dyDescent="0.35">
      <c r="B106" s="5"/>
      <c r="C106" s="5"/>
      <c r="D106" s="5" t="s">
        <v>31</v>
      </c>
      <c r="E106" s="9"/>
      <c r="F106" s="6">
        <v>31200</v>
      </c>
      <c r="G106" s="6">
        <f>SUM(G99:G105)</f>
        <v>31200</v>
      </c>
      <c r="H106" s="6">
        <f>SUM(H99:H105)</f>
        <v>0</v>
      </c>
    </row>
    <row r="107" spans="2:8" ht="15" x14ac:dyDescent="0.35">
      <c r="B107" s="5" t="s">
        <v>32</v>
      </c>
      <c r="C107" s="5"/>
      <c r="D107" s="5"/>
      <c r="E107" s="9"/>
      <c r="F107" s="6">
        <v>164805.57500000001</v>
      </c>
      <c r="G107" s="6">
        <f>SUM(G106,G98,G93)</f>
        <v>41720.558333333334</v>
      </c>
      <c r="H107" s="6">
        <f>SUM(H106,H98,H93)</f>
        <v>123085.01666666666</v>
      </c>
    </row>
    <row r="108" spans="2:8" x14ac:dyDescent="0.2">
      <c r="H108" s="14">
        <f t="shared" si="2"/>
        <v>0</v>
      </c>
    </row>
    <row r="109" spans="2:8" x14ac:dyDescent="0.2">
      <c r="B109" s="5" t="s">
        <v>50</v>
      </c>
      <c r="H109" s="14">
        <f t="shared" si="2"/>
        <v>0</v>
      </c>
    </row>
    <row r="110" spans="2:8" x14ac:dyDescent="0.2">
      <c r="B110" s="5"/>
      <c r="C110" t="s">
        <v>33</v>
      </c>
      <c r="F110" s="14">
        <v>75100</v>
      </c>
      <c r="G110" s="14">
        <v>12500</v>
      </c>
      <c r="H110" s="14">
        <f t="shared" si="2"/>
        <v>62600</v>
      </c>
    </row>
    <row r="111" spans="2:8" x14ac:dyDescent="0.2">
      <c r="B111" s="5"/>
      <c r="C111" t="s">
        <v>78</v>
      </c>
      <c r="E111" s="3" t="s">
        <v>139</v>
      </c>
      <c r="F111" s="14">
        <v>3000</v>
      </c>
      <c r="G111" s="14">
        <f>+F111</f>
        <v>3000</v>
      </c>
      <c r="H111" s="14">
        <f t="shared" si="2"/>
        <v>0</v>
      </c>
    </row>
    <row r="112" spans="2:8" ht="15" x14ac:dyDescent="0.35">
      <c r="B112" s="5"/>
      <c r="C112" t="s">
        <v>79</v>
      </c>
      <c r="E112" s="3" t="s">
        <v>54</v>
      </c>
      <c r="F112" s="4">
        <v>2000</v>
      </c>
      <c r="G112" s="4">
        <f>+F112</f>
        <v>2000</v>
      </c>
      <c r="H112" s="4">
        <f t="shared" si="2"/>
        <v>0</v>
      </c>
    </row>
    <row r="113" spans="2:8" ht="15" x14ac:dyDescent="0.35">
      <c r="B113" s="5" t="s">
        <v>77</v>
      </c>
      <c r="C113" s="5"/>
      <c r="D113" s="5"/>
      <c r="E113" s="9"/>
      <c r="F113" s="6">
        <v>80100</v>
      </c>
      <c r="G113" s="6">
        <f>SUM(G110:G112)</f>
        <v>17500</v>
      </c>
      <c r="H113" s="6">
        <f>SUM(H110:H112)</f>
        <v>62600</v>
      </c>
    </row>
    <row r="114" spans="2:8" hidden="1" x14ac:dyDescent="0.2"/>
    <row r="115" spans="2:8" hidden="1" x14ac:dyDescent="0.2">
      <c r="B115" s="5" t="s">
        <v>34</v>
      </c>
    </row>
    <row r="116" spans="2:8" hidden="1" x14ac:dyDescent="0.2">
      <c r="C116" t="s">
        <v>46</v>
      </c>
      <c r="E116" s="11" t="s">
        <v>85</v>
      </c>
      <c r="F116" s="14">
        <v>0</v>
      </c>
      <c r="G116" s="14">
        <f>IF(Misc!C25=0,('Yr1'!G13-G84)*0.03,150000+Misc!C25)*0</f>
        <v>0</v>
      </c>
      <c r="H116" s="14">
        <f>IF(Misc!D25=0,('Yr1'!H13-H84)*0.03,150000+Misc!D25)*0</f>
        <v>0</v>
      </c>
    </row>
    <row r="117" spans="2:8" ht="15" hidden="1" x14ac:dyDescent="0.35">
      <c r="C117" t="s">
        <v>47</v>
      </c>
      <c r="E117" s="11" t="s">
        <v>86</v>
      </c>
      <c r="F117" s="4">
        <v>0</v>
      </c>
      <c r="G117" s="4">
        <f>0.0325*(G25+G73+G93)*0</f>
        <v>0</v>
      </c>
      <c r="H117" s="4">
        <f>0.0325*(H25+H73+H93)*0</f>
        <v>0</v>
      </c>
    </row>
    <row r="118" spans="2:8" ht="15" hidden="1" x14ac:dyDescent="0.35">
      <c r="B118" s="5" t="s">
        <v>48</v>
      </c>
      <c r="C118" s="5"/>
      <c r="D118" s="5"/>
      <c r="E118" s="9"/>
      <c r="F118" s="6">
        <v>0</v>
      </c>
      <c r="G118" s="6">
        <f>SUM(G116:G117)</f>
        <v>0</v>
      </c>
      <c r="H118" s="6">
        <f>SUM(H116:H117)</f>
        <v>0</v>
      </c>
    </row>
    <row r="119" spans="2:8" ht="15" x14ac:dyDescent="0.35">
      <c r="B119" s="5"/>
      <c r="C119" s="5"/>
      <c r="D119" s="5"/>
      <c r="E119" s="9"/>
      <c r="F119" s="6"/>
      <c r="G119" s="6"/>
      <c r="H119" s="6"/>
    </row>
    <row r="120" spans="2:8" x14ac:dyDescent="0.2">
      <c r="B120" s="5" t="s">
        <v>80</v>
      </c>
    </row>
    <row r="121" spans="2:8" ht="15" x14ac:dyDescent="0.35">
      <c r="C121" t="s">
        <v>147</v>
      </c>
      <c r="E121" s="3" t="s">
        <v>135</v>
      </c>
      <c r="F121" s="4">
        <v>17280</v>
      </c>
      <c r="G121" s="4">
        <v>0</v>
      </c>
      <c r="H121" s="4">
        <f t="shared" si="2"/>
        <v>17280</v>
      </c>
    </row>
    <row r="122" spans="2:8" ht="15" x14ac:dyDescent="0.35">
      <c r="D122" s="5" t="s">
        <v>148</v>
      </c>
      <c r="E122" s="9"/>
      <c r="F122" s="6">
        <v>17280</v>
      </c>
      <c r="G122" s="6">
        <f>SUM(G121)</f>
        <v>0</v>
      </c>
      <c r="H122" s="6">
        <f>SUM(H121)</f>
        <v>17280</v>
      </c>
    </row>
    <row r="123" spans="2:8" x14ac:dyDescent="0.2">
      <c r="C123" t="s">
        <v>7</v>
      </c>
      <c r="E123" s="13">
        <v>1.4999999999999999E-2</v>
      </c>
      <c r="F123" s="14">
        <v>259.2</v>
      </c>
      <c r="G123" s="14">
        <v>0</v>
      </c>
      <c r="H123" s="14">
        <f t="shared" si="2"/>
        <v>259.2</v>
      </c>
    </row>
    <row r="124" spans="2:8" x14ac:dyDescent="0.2">
      <c r="C124" t="s">
        <v>8</v>
      </c>
      <c r="E124" s="3" t="s">
        <v>52</v>
      </c>
      <c r="F124" s="14">
        <v>1699.92</v>
      </c>
      <c r="G124" s="14">
        <v>0</v>
      </c>
      <c r="H124" s="14">
        <f t="shared" si="2"/>
        <v>1699.92</v>
      </c>
    </row>
    <row r="125" spans="2:8" hidden="1" x14ac:dyDescent="0.2">
      <c r="C125" t="s">
        <v>9</v>
      </c>
      <c r="E125" s="3" t="str">
        <f>CONCATENATE(ins," per month per employee")</f>
        <v>266.666666666666 per month per employee</v>
      </c>
      <c r="F125" s="14">
        <v>0</v>
      </c>
      <c r="G125" s="14">
        <v>0</v>
      </c>
      <c r="H125" s="14">
        <f t="shared" si="2"/>
        <v>0</v>
      </c>
    </row>
    <row r="126" spans="2:8" ht="15" x14ac:dyDescent="0.35">
      <c r="C126" t="s">
        <v>10</v>
      </c>
      <c r="E126" s="11" t="s">
        <v>53</v>
      </c>
      <c r="F126" s="4">
        <v>172.8</v>
      </c>
      <c r="G126" s="4">
        <v>0</v>
      </c>
      <c r="H126" s="4">
        <f t="shared" si="2"/>
        <v>172.8</v>
      </c>
    </row>
    <row r="127" spans="2:8" ht="15" x14ac:dyDescent="0.35">
      <c r="D127" s="5" t="s">
        <v>149</v>
      </c>
      <c r="E127" s="9"/>
      <c r="F127" s="6">
        <v>2131.92</v>
      </c>
      <c r="G127" s="6">
        <f>SUM(G123:G126)</f>
        <v>0</v>
      </c>
      <c r="H127" s="6">
        <f>SUM(H123:H126)</f>
        <v>2131.92</v>
      </c>
    </row>
    <row r="128" spans="2:8" ht="15" x14ac:dyDescent="0.35">
      <c r="B128" s="5"/>
      <c r="C128" t="s">
        <v>11</v>
      </c>
      <c r="F128" s="4">
        <v>29779.200000000001</v>
      </c>
      <c r="G128" s="4">
        <v>0</v>
      </c>
      <c r="H128" s="14">
        <f t="shared" si="2"/>
        <v>29779.200000000001</v>
      </c>
    </row>
    <row r="129" spans="2:8" ht="15" x14ac:dyDescent="0.35">
      <c r="D129" s="5" t="s">
        <v>150</v>
      </c>
      <c r="E129" s="9"/>
      <c r="F129" s="6">
        <v>29779.200000000001</v>
      </c>
      <c r="G129" s="6">
        <f>SUM(G128)</f>
        <v>0</v>
      </c>
      <c r="H129" s="6">
        <f>SUM(H128)</f>
        <v>29779.200000000001</v>
      </c>
    </row>
    <row r="130" spans="2:8" ht="15" x14ac:dyDescent="0.35">
      <c r="B130" s="5" t="s">
        <v>151</v>
      </c>
      <c r="C130" s="5"/>
      <c r="D130" s="5"/>
      <c r="E130" s="3" t="s">
        <v>141</v>
      </c>
      <c r="F130" s="6">
        <v>49191.12</v>
      </c>
      <c r="G130" s="6">
        <f>+G122+G127+G129</f>
        <v>0</v>
      </c>
      <c r="H130" s="6">
        <f>+H122+H127+H129</f>
        <v>49191.119999999995</v>
      </c>
    </row>
    <row r="132" spans="2:8" x14ac:dyDescent="0.2">
      <c r="B132" s="5" t="s">
        <v>35</v>
      </c>
    </row>
    <row r="133" spans="2:8" ht="15" x14ac:dyDescent="0.35">
      <c r="C133" s="5" t="s">
        <v>11</v>
      </c>
      <c r="D133" s="5"/>
      <c r="E133" s="3" t="s">
        <v>108</v>
      </c>
      <c r="F133" s="6">
        <v>56752.5</v>
      </c>
      <c r="G133" s="6">
        <f>603.75*G7/2</f>
        <v>0</v>
      </c>
      <c r="H133" s="6">
        <f>+F133-G133:G133</f>
        <v>56752.5</v>
      </c>
    </row>
    <row r="135" spans="2:8" x14ac:dyDescent="0.2">
      <c r="B135" s="5" t="s">
        <v>36</v>
      </c>
    </row>
    <row r="136" spans="2:8" ht="15" x14ac:dyDescent="0.35">
      <c r="C136" t="s">
        <v>152</v>
      </c>
      <c r="E136" s="3" t="s">
        <v>135</v>
      </c>
      <c r="F136" s="4">
        <v>35000</v>
      </c>
      <c r="G136" s="4">
        <v>0</v>
      </c>
      <c r="H136" s="4">
        <f t="shared" si="2"/>
        <v>35000</v>
      </c>
    </row>
    <row r="137" spans="2:8" ht="15" x14ac:dyDescent="0.35">
      <c r="D137" s="5" t="s">
        <v>153</v>
      </c>
      <c r="E137" s="9"/>
      <c r="F137" s="6">
        <v>35000</v>
      </c>
      <c r="G137" s="6">
        <f>SUM(G136)</f>
        <v>0</v>
      </c>
      <c r="H137" s="6">
        <f>SUM(H136)</f>
        <v>35000</v>
      </c>
    </row>
    <row r="138" spans="2:8" x14ac:dyDescent="0.2">
      <c r="C138" t="s">
        <v>7</v>
      </c>
      <c r="E138" s="13">
        <v>1.4999999999999999E-2</v>
      </c>
      <c r="F138" s="14">
        <v>525</v>
      </c>
      <c r="G138" s="14">
        <v>0</v>
      </c>
      <c r="H138" s="14">
        <f t="shared" si="2"/>
        <v>525</v>
      </c>
    </row>
    <row r="139" spans="2:8" x14ac:dyDescent="0.2">
      <c r="C139" t="s">
        <v>8</v>
      </c>
      <c r="E139" s="3" t="s">
        <v>52</v>
      </c>
      <c r="F139" s="14">
        <v>3055.5</v>
      </c>
      <c r="G139" s="14">
        <v>0</v>
      </c>
      <c r="H139" s="14">
        <f t="shared" si="2"/>
        <v>3055.5</v>
      </c>
    </row>
    <row r="140" spans="2:8" x14ac:dyDescent="0.2">
      <c r="C140" t="s">
        <v>9</v>
      </c>
      <c r="E140" s="3" t="str">
        <f>CONCATENATE(ins," per month per employee")</f>
        <v>266.666666666666 per month per employee</v>
      </c>
      <c r="F140" s="14">
        <v>3000</v>
      </c>
      <c r="G140" s="14">
        <v>0</v>
      </c>
      <c r="H140" s="14">
        <f t="shared" si="2"/>
        <v>3000</v>
      </c>
    </row>
    <row r="141" spans="2:8" ht="15" x14ac:dyDescent="0.35">
      <c r="C141" t="s">
        <v>10</v>
      </c>
      <c r="E141" s="11" t="s">
        <v>53</v>
      </c>
      <c r="F141" s="4">
        <v>350</v>
      </c>
      <c r="G141" s="4">
        <v>0</v>
      </c>
      <c r="H141" s="4">
        <f t="shared" si="2"/>
        <v>350</v>
      </c>
    </row>
    <row r="142" spans="2:8" ht="15" x14ac:dyDescent="0.35">
      <c r="D142" s="5" t="s">
        <v>154</v>
      </c>
      <c r="E142" s="9"/>
      <c r="F142" s="6">
        <v>6930.5</v>
      </c>
      <c r="G142" s="6">
        <f>SUM(G138:G141)</f>
        <v>0</v>
      </c>
      <c r="H142" s="6">
        <f>SUM(H138:H141)</f>
        <v>6930.5</v>
      </c>
    </row>
    <row r="143" spans="2:8" x14ac:dyDescent="0.2">
      <c r="C143" t="s">
        <v>11</v>
      </c>
      <c r="F143" s="14">
        <v>1200</v>
      </c>
      <c r="G143" s="14">
        <v>0</v>
      </c>
      <c r="H143" s="14">
        <f t="shared" ref="H143:H148" si="4">+F143-G143</f>
        <v>1200</v>
      </c>
    </row>
    <row r="144" spans="2:8" x14ac:dyDescent="0.2">
      <c r="C144" t="s">
        <v>21</v>
      </c>
      <c r="F144" s="14">
        <v>3000</v>
      </c>
      <c r="G144" s="14">
        <v>0</v>
      </c>
      <c r="H144" s="14">
        <f t="shared" si="4"/>
        <v>3000</v>
      </c>
    </row>
    <row r="145" spans="1:8" x14ac:dyDescent="0.2">
      <c r="C145" t="s">
        <v>37</v>
      </c>
      <c r="F145" s="14">
        <v>4800</v>
      </c>
      <c r="G145" s="14">
        <v>0</v>
      </c>
      <c r="H145" s="14">
        <f t="shared" si="4"/>
        <v>4800</v>
      </c>
    </row>
    <row r="146" spans="1:8" x14ac:dyDescent="0.2">
      <c r="C146" t="s">
        <v>38</v>
      </c>
      <c r="F146" s="14">
        <v>12000</v>
      </c>
      <c r="G146" s="14">
        <v>0</v>
      </c>
      <c r="H146" s="14">
        <f t="shared" si="4"/>
        <v>12000</v>
      </c>
    </row>
    <row r="147" spans="1:8" x14ac:dyDescent="0.2">
      <c r="C147" t="s">
        <v>13</v>
      </c>
      <c r="F147" s="14">
        <v>1800</v>
      </c>
      <c r="G147" s="14">
        <v>0</v>
      </c>
      <c r="H147" s="14">
        <f t="shared" si="4"/>
        <v>1800</v>
      </c>
    </row>
    <row r="148" spans="1:8" ht="15" x14ac:dyDescent="0.35">
      <c r="C148" t="s">
        <v>15</v>
      </c>
      <c r="F148" s="4">
        <v>1000</v>
      </c>
      <c r="G148" s="4">
        <f>+F148</f>
        <v>1000</v>
      </c>
      <c r="H148" s="4">
        <f t="shared" si="4"/>
        <v>0</v>
      </c>
    </row>
    <row r="149" spans="1:8" ht="15" x14ac:dyDescent="0.35">
      <c r="D149" s="5" t="s">
        <v>155</v>
      </c>
      <c r="E149" s="9"/>
      <c r="F149" s="6">
        <v>23800</v>
      </c>
      <c r="G149" s="6">
        <f>SUM(G143:G148)</f>
        <v>1000</v>
      </c>
      <c r="H149" s="6">
        <f>SUM(H143:H148)</f>
        <v>22800</v>
      </c>
    </row>
    <row r="150" spans="1:8" ht="15" x14ac:dyDescent="0.35">
      <c r="A150" s="5"/>
      <c r="B150" s="5" t="s">
        <v>39</v>
      </c>
      <c r="C150" s="5"/>
      <c r="D150" s="5"/>
      <c r="E150" s="9"/>
      <c r="F150" s="6">
        <v>65730.5</v>
      </c>
      <c r="G150" s="6">
        <f>+G137+G142+G149</f>
        <v>1000</v>
      </c>
      <c r="H150" s="6">
        <f>+H137+H142+H149</f>
        <v>64730.5</v>
      </c>
    </row>
    <row r="151" spans="1:8" ht="15" x14ac:dyDescent="0.35">
      <c r="A151" s="5"/>
      <c r="B151" s="5"/>
      <c r="C151" s="5"/>
      <c r="D151" s="5"/>
      <c r="E151" s="9"/>
      <c r="F151" s="6"/>
      <c r="G151" s="6"/>
      <c r="H151" s="6"/>
    </row>
    <row r="152" spans="1:8" ht="15" x14ac:dyDescent="0.35">
      <c r="A152" s="5"/>
      <c r="B152" s="5" t="s">
        <v>81</v>
      </c>
      <c r="C152" s="5"/>
      <c r="D152" s="5"/>
      <c r="E152" s="9"/>
      <c r="F152" s="6"/>
      <c r="G152" s="6"/>
      <c r="H152" s="6"/>
    </row>
    <row r="153" spans="1:8" x14ac:dyDescent="0.2">
      <c r="A153" s="5"/>
      <c r="B153" s="5"/>
      <c r="C153" t="s">
        <v>11</v>
      </c>
      <c r="D153" s="5"/>
      <c r="E153" s="9"/>
      <c r="F153" s="14">
        <v>1200</v>
      </c>
      <c r="G153" s="14">
        <v>0</v>
      </c>
      <c r="H153" s="14">
        <f>+F153-G153</f>
        <v>1200</v>
      </c>
    </row>
    <row r="154" spans="1:8" ht="15" x14ac:dyDescent="0.35">
      <c r="A154" s="5"/>
      <c r="B154" s="5"/>
      <c r="C154" t="s">
        <v>13</v>
      </c>
      <c r="D154" s="5"/>
      <c r="F154" s="10">
        <v>1000</v>
      </c>
      <c r="G154" s="10">
        <v>0</v>
      </c>
      <c r="H154" s="10">
        <f>+F154-G154</f>
        <v>1000</v>
      </c>
    </row>
    <row r="155" spans="1:8" ht="15" x14ac:dyDescent="0.35">
      <c r="A155" s="5"/>
      <c r="B155" s="5" t="s">
        <v>82</v>
      </c>
      <c r="C155" s="5"/>
      <c r="D155" s="5"/>
      <c r="E155" s="9"/>
      <c r="F155" s="6">
        <v>2200</v>
      </c>
      <c r="G155" s="6">
        <f>SUM(G153:G154)</f>
        <v>0</v>
      </c>
      <c r="H155" s="6">
        <f>SUM(H153:H154)</f>
        <v>2200</v>
      </c>
    </row>
    <row r="156" spans="1:8" x14ac:dyDescent="0.2">
      <c r="A156" s="5"/>
      <c r="B156" s="5"/>
      <c r="C156" s="5"/>
      <c r="D156" s="5"/>
      <c r="E156" s="9"/>
      <c r="F156" s="8"/>
      <c r="G156" s="8"/>
      <c r="H156" s="8"/>
    </row>
    <row r="157" spans="1:8" ht="15" x14ac:dyDescent="0.35">
      <c r="A157" s="5" t="s">
        <v>40</v>
      </c>
      <c r="B157" s="5"/>
      <c r="C157" s="5"/>
      <c r="D157" s="5"/>
      <c r="E157" s="9"/>
      <c r="F157" s="6">
        <v>1295235.4927557684</v>
      </c>
      <c r="G157" s="6" t="e">
        <f>SUM(G41,G54,G69,G72,G75,G86,G107,G113,G118,G130,G133,G150,G155)</f>
        <v>#REF!</v>
      </c>
      <c r="H157" s="6" t="e">
        <f>SUM(H41,H54,H69,H72,H75,H86,H107,H113,H118,H130,H133,H150,H155)</f>
        <v>#REF!</v>
      </c>
    </row>
    <row r="159" spans="1:8" s="5" customFormat="1" ht="15" x14ac:dyDescent="0.35">
      <c r="A159" s="5" t="s">
        <v>83</v>
      </c>
      <c r="E159" s="9"/>
      <c r="F159" s="6">
        <f>+F18-F157</f>
        <v>37869.507244231645</v>
      </c>
      <c r="G159" s="6" t="e">
        <f>+G18-G157</f>
        <v>#REF!</v>
      </c>
      <c r="H159" s="6" t="e">
        <f>+H18-H157</f>
        <v>#REF!</v>
      </c>
    </row>
    <row r="161" spans="1:8" ht="15" x14ac:dyDescent="0.35">
      <c r="A161" s="5" t="s">
        <v>104</v>
      </c>
      <c r="F161" s="7">
        <f>+F159</f>
        <v>37869.507244231645</v>
      </c>
      <c r="G161" s="7" t="e">
        <f>+G159</f>
        <v>#REF!</v>
      </c>
      <c r="H161" s="7" t="e">
        <f>+H159</f>
        <v>#REF!</v>
      </c>
    </row>
  </sheetData>
  <mergeCells count="3">
    <mergeCell ref="A1:H1"/>
    <mergeCell ref="A2:H2"/>
    <mergeCell ref="A3:H3"/>
  </mergeCells>
  <phoneticPr fontId="0" type="noConversion"/>
  <printOptions horizontalCentered="1"/>
  <pageMargins left="0.25" right="0.25" top="0.5" bottom="0.5" header="0.5" footer="0.5"/>
  <pageSetup orientation="portrait" horizontalDpi="300" verticalDpi="300"/>
  <headerFooter alignWithMargins="0"/>
  <rowBreaks count="2" manualBreakCount="2">
    <brk id="75" max="16383" man="1"/>
    <brk id="11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1"/>
  <sheetViews>
    <sheetView topLeftCell="A141" workbookViewId="0">
      <selection activeCell="B30" sqref="B30"/>
    </sheetView>
  </sheetViews>
  <sheetFormatPr defaultColWidth="8.7109375" defaultRowHeight="12.75" x14ac:dyDescent="0.2"/>
  <cols>
    <col min="1" max="3" width="2.7109375" customWidth="1"/>
    <col min="4" max="4" width="41.140625" customWidth="1"/>
    <col min="5" max="5" width="32.7109375" style="3" hidden="1" customWidth="1"/>
    <col min="6" max="6" width="14" style="14" hidden="1" customWidth="1"/>
    <col min="7" max="7" width="14.42578125" style="14" bestFit="1" customWidth="1"/>
    <col min="8" max="8" width="14.140625" style="14" bestFit="1" customWidth="1"/>
    <col min="9" max="9" width="14.7109375" style="14" bestFit="1" customWidth="1"/>
    <col min="10" max="13" width="10.28515625" bestFit="1" customWidth="1"/>
  </cols>
  <sheetData>
    <row r="1" spans="1:9" x14ac:dyDescent="0.2">
      <c r="A1" s="94" t="s">
        <v>146</v>
      </c>
      <c r="B1" s="94"/>
      <c r="C1" s="94"/>
      <c r="D1" s="94"/>
      <c r="E1" s="94"/>
      <c r="F1" s="94"/>
      <c r="G1" s="94"/>
      <c r="H1" s="94"/>
      <c r="I1" s="94"/>
    </row>
    <row r="2" spans="1:9" x14ac:dyDescent="0.2">
      <c r="A2" s="94" t="s">
        <v>189</v>
      </c>
      <c r="B2" s="94"/>
      <c r="C2" s="94"/>
      <c r="D2" s="94"/>
      <c r="E2" s="94"/>
      <c r="F2" s="94"/>
      <c r="G2" s="94"/>
      <c r="H2" s="94"/>
      <c r="I2" s="94"/>
    </row>
    <row r="3" spans="1:9" x14ac:dyDescent="0.2">
      <c r="A3" s="94" t="s">
        <v>164</v>
      </c>
      <c r="B3" s="94"/>
      <c r="C3" s="94"/>
      <c r="D3" s="94"/>
      <c r="E3" s="94"/>
      <c r="F3" s="94"/>
      <c r="G3" s="94"/>
      <c r="H3" s="94"/>
      <c r="I3" s="94"/>
    </row>
    <row r="4" spans="1:9" x14ac:dyDescent="0.2">
      <c r="A4" s="9"/>
      <c r="B4" s="9"/>
      <c r="C4" s="9"/>
      <c r="D4" s="9"/>
      <c r="E4" s="9"/>
      <c r="F4" s="9"/>
      <c r="G4"/>
      <c r="H4" s="9"/>
      <c r="I4" s="9"/>
    </row>
    <row r="5" spans="1:9" x14ac:dyDescent="0.2">
      <c r="A5" s="9"/>
      <c r="B5" s="9"/>
      <c r="C5" s="9"/>
      <c r="D5" s="9"/>
      <c r="E5" s="12" t="s">
        <v>125</v>
      </c>
      <c r="F5" s="12" t="s">
        <v>58</v>
      </c>
      <c r="G5" s="12" t="s">
        <v>90</v>
      </c>
      <c r="H5" s="12" t="s">
        <v>163</v>
      </c>
      <c r="I5" s="12" t="s">
        <v>89</v>
      </c>
    </row>
    <row r="6" spans="1:9" x14ac:dyDescent="0.2">
      <c r="A6" s="9"/>
      <c r="B6" s="9"/>
      <c r="C6" s="9"/>
      <c r="D6" s="9"/>
      <c r="E6" s="12"/>
      <c r="F6" s="12"/>
      <c r="G6" s="12"/>
      <c r="H6" s="12"/>
      <c r="I6" s="12"/>
    </row>
    <row r="7" spans="1:9" hidden="1" x14ac:dyDescent="0.2">
      <c r="A7" s="5" t="s">
        <v>60</v>
      </c>
      <c r="F7" s="14" t="e">
        <f>+#REF!</f>
        <v>#REF!</v>
      </c>
      <c r="G7" s="14" t="e">
        <f>+#REF!</f>
        <v>#REF!</v>
      </c>
    </row>
    <row r="8" spans="1:9" hidden="1" x14ac:dyDescent="0.2">
      <c r="A8" s="5"/>
    </row>
    <row r="9" spans="1:9" hidden="1" x14ac:dyDescent="0.2">
      <c r="A9" s="5"/>
    </row>
    <row r="10" spans="1:9" ht="15" hidden="1" x14ac:dyDescent="0.35">
      <c r="A10" s="5" t="s">
        <v>103</v>
      </c>
      <c r="F10" s="6">
        <v>0</v>
      </c>
      <c r="G10" s="6">
        <v>37869.507244231645</v>
      </c>
      <c r="H10" s="6">
        <v>0</v>
      </c>
      <c r="I10" s="6">
        <f>+G10-H10</f>
        <v>37869.507244231645</v>
      </c>
    </row>
    <row r="11" spans="1:9" hidden="1" x14ac:dyDescent="0.2">
      <c r="F11" s="15"/>
      <c r="G11" s="15"/>
      <c r="H11" s="15"/>
      <c r="I11" s="15"/>
    </row>
    <row r="12" spans="1:9" x14ac:dyDescent="0.2">
      <c r="A12" s="5" t="s">
        <v>1</v>
      </c>
    </row>
    <row r="13" spans="1:9" x14ac:dyDescent="0.2">
      <c r="B13" t="s">
        <v>2</v>
      </c>
      <c r="E13" s="3" t="s">
        <v>51</v>
      </c>
      <c r="F13" s="14">
        <v>981202</v>
      </c>
      <c r="G13" s="14">
        <v>1319040.5617021278</v>
      </c>
      <c r="H13" s="14">
        <v>0</v>
      </c>
      <c r="I13" s="14">
        <f>+G13-H13</f>
        <v>1319040.5617021278</v>
      </c>
    </row>
    <row r="14" spans="1:9" x14ac:dyDescent="0.2">
      <c r="B14" t="s">
        <v>65</v>
      </c>
      <c r="F14" s="14" t="e">
        <f>25000+125000+300*F7</f>
        <v>#REF!</v>
      </c>
      <c r="G14" s="14">
        <v>87200</v>
      </c>
      <c r="H14" s="14">
        <f>+G14</f>
        <v>87200</v>
      </c>
      <c r="I14" s="14">
        <f t="shared" ref="I14:I67" si="0">+G14-H14</f>
        <v>0</v>
      </c>
    </row>
    <row r="15" spans="1:9" hidden="1" x14ac:dyDescent="0.2">
      <c r="B15" t="s">
        <v>88</v>
      </c>
      <c r="F15" s="14">
        <v>0</v>
      </c>
      <c r="G15" s="14">
        <v>0</v>
      </c>
      <c r="H15" s="14">
        <v>0</v>
      </c>
      <c r="I15" s="14">
        <f t="shared" si="0"/>
        <v>0</v>
      </c>
    </row>
    <row r="16" spans="1:9" x14ac:dyDescent="0.2">
      <c r="B16" t="s">
        <v>142</v>
      </c>
      <c r="F16" s="14" t="e">
        <f>1.25*F7/5*180</f>
        <v>#REF!</v>
      </c>
      <c r="G16" s="14">
        <v>10281.6</v>
      </c>
      <c r="H16" s="14">
        <v>0</v>
      </c>
      <c r="I16" s="14">
        <f t="shared" si="0"/>
        <v>10281.6</v>
      </c>
    </row>
    <row r="17" spans="1:9" ht="15" x14ac:dyDescent="0.35">
      <c r="B17" t="s">
        <v>3</v>
      </c>
      <c r="E17" s="3" t="s">
        <v>63</v>
      </c>
      <c r="F17" s="4" t="e">
        <f>F7/2*350</f>
        <v>#REF!</v>
      </c>
      <c r="G17" s="4">
        <v>39984</v>
      </c>
      <c r="H17" s="4">
        <v>0</v>
      </c>
      <c r="I17" s="4">
        <f t="shared" si="0"/>
        <v>39984</v>
      </c>
    </row>
    <row r="18" spans="1:9" s="5" customFormat="1" ht="15" x14ac:dyDescent="0.35">
      <c r="A18" s="5" t="s">
        <v>49</v>
      </c>
      <c r="E18" s="9"/>
      <c r="F18" s="6" t="e">
        <f>SUM(F13:F17)</f>
        <v>#REF!</v>
      </c>
      <c r="G18" s="6">
        <v>1456506.1617021279</v>
      </c>
      <c r="H18" s="6">
        <f>SUM(H13:H17)</f>
        <v>87200</v>
      </c>
      <c r="I18" s="6">
        <f>SUM(I13:I17)</f>
        <v>1369306.1617021279</v>
      </c>
    </row>
    <row r="20" spans="1:9" x14ac:dyDescent="0.2">
      <c r="A20" s="5" t="s">
        <v>4</v>
      </c>
    </row>
    <row r="21" spans="1:9" x14ac:dyDescent="0.2">
      <c r="B21" s="5" t="s">
        <v>5</v>
      </c>
    </row>
    <row r="22" spans="1:9" x14ac:dyDescent="0.2">
      <c r="B22" s="5"/>
      <c r="C22" t="s">
        <v>6</v>
      </c>
      <c r="E22" s="3" t="e">
        <f>CONCATENATE(#REF!+Misc!B5," @ ",Tchr)</f>
        <v>#REF!</v>
      </c>
      <c r="F22" s="14" t="e">
        <f>(#REF!+_add1)*Tchr</f>
        <v>#REF!</v>
      </c>
      <c r="G22" s="14">
        <v>495720</v>
      </c>
      <c r="H22" s="14">
        <v>0</v>
      </c>
      <c r="I22" s="14">
        <f t="shared" si="0"/>
        <v>495720</v>
      </c>
    </row>
    <row r="23" spans="1:9" x14ac:dyDescent="0.2">
      <c r="B23" s="5"/>
      <c r="C23" t="s">
        <v>156</v>
      </c>
      <c r="F23" s="14">
        <f>3*20*196*4</f>
        <v>47040</v>
      </c>
      <c r="G23" s="14">
        <v>47980.800000000003</v>
      </c>
      <c r="H23" s="14">
        <f>+G23/3*2</f>
        <v>31987.200000000001</v>
      </c>
      <c r="I23" s="14">
        <f t="shared" si="0"/>
        <v>15993.600000000002</v>
      </c>
    </row>
    <row r="24" spans="1:9" ht="15" x14ac:dyDescent="0.35">
      <c r="C24" t="s">
        <v>96</v>
      </c>
      <c r="E24" s="3" t="str">
        <f>CONCATENATE(para1," @ ",Misc!B8)</f>
        <v>0 @ 17280</v>
      </c>
      <c r="F24" s="4">
        <f>para*para1</f>
        <v>0</v>
      </c>
      <c r="G24" s="4">
        <v>52876.800000000003</v>
      </c>
      <c r="H24" s="4">
        <v>0</v>
      </c>
      <c r="I24" s="4">
        <f t="shared" si="0"/>
        <v>52876.800000000003</v>
      </c>
    </row>
    <row r="25" spans="1:9" ht="15" x14ac:dyDescent="0.35">
      <c r="D25" s="5" t="s">
        <v>41</v>
      </c>
      <c r="E25" s="9"/>
      <c r="F25" s="6" t="e">
        <f>SUM(F22:F24)</f>
        <v>#REF!</v>
      </c>
      <c r="G25" s="6">
        <v>596577.6</v>
      </c>
      <c r="H25" s="6">
        <f>SUM(H22:H24)</f>
        <v>31987.200000000001</v>
      </c>
      <c r="I25" s="6">
        <f>SUM(I22:I24)</f>
        <v>564590.4</v>
      </c>
    </row>
    <row r="26" spans="1:9" x14ac:dyDescent="0.2">
      <c r="C26" t="s">
        <v>7</v>
      </c>
      <c r="E26" s="13">
        <v>1.4999999999999999E-2</v>
      </c>
      <c r="F26" s="14" t="e">
        <f>+F25*0.015</f>
        <v>#REF!</v>
      </c>
      <c r="G26" s="14">
        <v>8948.6640000000007</v>
      </c>
      <c r="H26" s="14">
        <f>+H25*0.015</f>
        <v>479.80799999999999</v>
      </c>
      <c r="I26" s="14">
        <f t="shared" si="0"/>
        <v>8468.8559999999998</v>
      </c>
    </row>
    <row r="27" spans="1:9" x14ac:dyDescent="0.2">
      <c r="C27" t="s">
        <v>8</v>
      </c>
      <c r="E27" s="3" t="s">
        <v>52</v>
      </c>
      <c r="F27" s="14" t="e">
        <f>+F25*0.0765+0.027*(#REF!+_add1+para1+3)*7000</f>
        <v>#REF!</v>
      </c>
      <c r="G27" s="14">
        <v>49040.186400000006</v>
      </c>
      <c r="H27" s="14">
        <f>+H25*0.0765+0.027*H25</f>
        <v>3310.6752000000001</v>
      </c>
      <c r="I27" s="14">
        <f t="shared" si="0"/>
        <v>45729.511200000008</v>
      </c>
    </row>
    <row r="28" spans="1:9" x14ac:dyDescent="0.2">
      <c r="C28" t="s">
        <v>9</v>
      </c>
      <c r="E28" s="3" t="str">
        <f>CONCATENATE("$",ins," per month per employee")</f>
        <v>$266.666666666666 per month per employee</v>
      </c>
      <c r="F28" s="14" t="e">
        <f>(#REF!+_add1+para1)*ins*12</f>
        <v>#REF!</v>
      </c>
      <c r="G28" s="14">
        <v>45900</v>
      </c>
      <c r="H28" s="14">
        <v>0</v>
      </c>
      <c r="I28" s="14">
        <f t="shared" si="0"/>
        <v>45900</v>
      </c>
    </row>
    <row r="29" spans="1:9" ht="15" x14ac:dyDescent="0.35">
      <c r="C29" t="s">
        <v>10</v>
      </c>
      <c r="E29" s="11" t="s">
        <v>53</v>
      </c>
      <c r="F29" s="4" t="e">
        <f>+F25*0.01</f>
        <v>#REF!</v>
      </c>
      <c r="G29" s="4">
        <v>5965.7760000000007</v>
      </c>
      <c r="H29" s="4">
        <f>+H25*0.01</f>
        <v>319.87200000000001</v>
      </c>
      <c r="I29" s="4">
        <f t="shared" si="0"/>
        <v>5645.9040000000005</v>
      </c>
    </row>
    <row r="30" spans="1:9" ht="15" x14ac:dyDescent="0.35">
      <c r="D30" s="5" t="s">
        <v>42</v>
      </c>
      <c r="E30" s="9"/>
      <c r="F30" s="6" t="e">
        <f>SUM(F26:F29)</f>
        <v>#REF!</v>
      </c>
      <c r="G30" s="6">
        <v>109854.62640000001</v>
      </c>
      <c r="H30" s="6">
        <f>SUM(H26:H29)</f>
        <v>4110.3552</v>
      </c>
      <c r="I30" s="6">
        <f>SUM(I26:I29)</f>
        <v>105744.2712</v>
      </c>
    </row>
    <row r="31" spans="1:9" x14ac:dyDescent="0.2">
      <c r="C31" t="s">
        <v>11</v>
      </c>
      <c r="E31" s="3" t="s">
        <v>140</v>
      </c>
      <c r="F31" s="14">
        <v>0</v>
      </c>
      <c r="G31" s="14">
        <v>11424</v>
      </c>
      <c r="H31" s="14">
        <v>6790.4447999999975</v>
      </c>
      <c r="I31" s="14">
        <f t="shared" si="0"/>
        <v>4633.5552000000025</v>
      </c>
    </row>
    <row r="32" spans="1:9" x14ac:dyDescent="0.2">
      <c r="C32" t="s">
        <v>12</v>
      </c>
      <c r="E32" s="3" t="s">
        <v>54</v>
      </c>
      <c r="F32" s="14">
        <v>1000</v>
      </c>
      <c r="G32" s="14">
        <v>1000</v>
      </c>
      <c r="H32" s="14">
        <v>0</v>
      </c>
      <c r="I32" s="14">
        <f t="shared" si="0"/>
        <v>1000</v>
      </c>
    </row>
    <row r="33" spans="2:9" x14ac:dyDescent="0.2">
      <c r="C33" t="s">
        <v>13</v>
      </c>
      <c r="E33" s="3" t="s">
        <v>106</v>
      </c>
      <c r="F33" s="14" t="e">
        <f>+#REF!*75</f>
        <v>#REF!</v>
      </c>
      <c r="G33" s="14">
        <v>17136</v>
      </c>
      <c r="H33" s="14">
        <v>10000</v>
      </c>
      <c r="I33" s="14">
        <f t="shared" si="0"/>
        <v>7136</v>
      </c>
    </row>
    <row r="34" spans="2:9" hidden="1" x14ac:dyDescent="0.2">
      <c r="C34" t="s">
        <v>115</v>
      </c>
      <c r="E34" s="3" t="s">
        <v>137</v>
      </c>
      <c r="F34" s="14" t="e">
        <f>250*SUM(#REF!)</f>
        <v>#REF!</v>
      </c>
      <c r="G34" s="14">
        <v>0</v>
      </c>
      <c r="H34" s="14">
        <f>+G34</f>
        <v>0</v>
      </c>
      <c r="I34" s="14">
        <f t="shared" si="0"/>
        <v>0</v>
      </c>
    </row>
    <row r="35" spans="2:9" x14ac:dyDescent="0.2">
      <c r="C35" t="s">
        <v>14</v>
      </c>
      <c r="E35" s="3" t="s">
        <v>68</v>
      </c>
      <c r="F35" s="14" t="e">
        <f>12*PMT(Misc!B32/12,Misc!B33,-Misc!B31)</f>
        <v>#REF!</v>
      </c>
      <c r="G35" s="14">
        <v>41068.040365986628</v>
      </c>
      <c r="H35" s="14">
        <v>15000</v>
      </c>
      <c r="I35" s="14">
        <f t="shared" si="0"/>
        <v>26068.040365986628</v>
      </c>
    </row>
    <row r="36" spans="2:9" x14ac:dyDescent="0.2">
      <c r="C36" t="s">
        <v>69</v>
      </c>
      <c r="E36" s="3" t="s">
        <v>105</v>
      </c>
      <c r="F36" s="14" t="e">
        <f>250*#REF!</f>
        <v>#REF!</v>
      </c>
      <c r="G36" s="14">
        <v>306</v>
      </c>
      <c r="H36" s="14">
        <f>+G36</f>
        <v>306</v>
      </c>
      <c r="I36" s="14">
        <f t="shared" si="0"/>
        <v>0</v>
      </c>
    </row>
    <row r="37" spans="2:9" x14ac:dyDescent="0.2">
      <c r="C37" t="s">
        <v>15</v>
      </c>
      <c r="E37" s="3" t="s">
        <v>107</v>
      </c>
      <c r="F37" s="14" t="e">
        <f>12*PMT(Misc!B39/12,Misc!B40,-Misc!B38)</f>
        <v>#REF!</v>
      </c>
      <c r="G37" s="14">
        <v>17736.187389781546</v>
      </c>
      <c r="H37" s="14">
        <v>10000</v>
      </c>
      <c r="I37" s="14">
        <f t="shared" si="0"/>
        <v>7736.1873897815458</v>
      </c>
    </row>
    <row r="38" spans="2:9" x14ac:dyDescent="0.2">
      <c r="C38" t="s">
        <v>16</v>
      </c>
      <c r="E38" s="3" t="s">
        <v>54</v>
      </c>
      <c r="F38" s="14">
        <v>2500</v>
      </c>
      <c r="G38" s="14">
        <v>2550</v>
      </c>
      <c r="H38" s="14">
        <v>1500</v>
      </c>
      <c r="I38" s="14">
        <f t="shared" si="0"/>
        <v>1050</v>
      </c>
    </row>
    <row r="39" spans="2:9" ht="15" x14ac:dyDescent="0.35">
      <c r="C39" t="s">
        <v>17</v>
      </c>
      <c r="E39" s="3" t="s">
        <v>116</v>
      </c>
      <c r="F39" s="4" t="e">
        <f>30*10*#REF!</f>
        <v>#REF!</v>
      </c>
      <c r="G39" s="4">
        <v>3672</v>
      </c>
      <c r="H39" s="4">
        <v>0</v>
      </c>
      <c r="I39" s="4">
        <f t="shared" si="0"/>
        <v>3672</v>
      </c>
    </row>
    <row r="40" spans="2:9" ht="15" x14ac:dyDescent="0.35">
      <c r="D40" s="5" t="s">
        <v>43</v>
      </c>
      <c r="E40" s="9"/>
      <c r="F40" s="6" t="e">
        <f>SUM(F31:F39)</f>
        <v>#REF!</v>
      </c>
      <c r="G40" s="6">
        <v>94892.227755768166</v>
      </c>
      <c r="H40" s="6">
        <f>SUM(H31:H39)</f>
        <v>43596.444799999997</v>
      </c>
      <c r="I40" s="6">
        <f>SUM(I31:I39)</f>
        <v>51295.782955768176</v>
      </c>
    </row>
    <row r="41" spans="2:9" ht="15" x14ac:dyDescent="0.35">
      <c r="B41" s="5" t="s">
        <v>18</v>
      </c>
      <c r="C41" s="5"/>
      <c r="D41" s="5"/>
      <c r="E41" s="9"/>
      <c r="F41" s="6" t="e">
        <f>SUM(F40,F30,F25)</f>
        <v>#REF!</v>
      </c>
      <c r="G41" s="6">
        <v>801324.45415576827</v>
      </c>
      <c r="H41" s="6">
        <f>SUM(H40,H30,H25)</f>
        <v>79694</v>
      </c>
      <c r="I41" s="6">
        <f>SUM(I40,I30,I25)</f>
        <v>721630.45415576827</v>
      </c>
    </row>
    <row r="42" spans="2:9" hidden="1" x14ac:dyDescent="0.2"/>
    <row r="43" spans="2:9" hidden="1" x14ac:dyDescent="0.2">
      <c r="B43" s="5" t="s">
        <v>66</v>
      </c>
    </row>
    <row r="44" spans="2:9" ht="15" hidden="1" x14ac:dyDescent="0.35">
      <c r="B44" s="5"/>
      <c r="C44" t="s">
        <v>109</v>
      </c>
      <c r="F44" s="4">
        <f>Tchr*0</f>
        <v>0</v>
      </c>
      <c r="G44" s="4">
        <v>0</v>
      </c>
      <c r="H44" s="4">
        <v>0</v>
      </c>
      <c r="I44" s="4">
        <f t="shared" si="0"/>
        <v>0</v>
      </c>
    </row>
    <row r="45" spans="2:9" ht="15" hidden="1" x14ac:dyDescent="0.35">
      <c r="B45" s="5"/>
      <c r="C45" t="s">
        <v>114</v>
      </c>
      <c r="F45" s="4">
        <v>0</v>
      </c>
      <c r="G45" s="4">
        <v>0</v>
      </c>
      <c r="H45" s="4"/>
      <c r="I45" s="14">
        <f t="shared" si="0"/>
        <v>0</v>
      </c>
    </row>
    <row r="46" spans="2:9" ht="15" hidden="1" x14ac:dyDescent="0.35">
      <c r="B46" s="5"/>
      <c r="D46" s="5" t="s">
        <v>110</v>
      </c>
      <c r="F46" s="6">
        <f>SUM(F44:F45)</f>
        <v>0</v>
      </c>
      <c r="G46" s="6">
        <v>0</v>
      </c>
      <c r="H46" s="6">
        <f>SUM(H44:H45)</f>
        <v>0</v>
      </c>
      <c r="I46" s="6">
        <f>SUM(I44:I45)</f>
        <v>0</v>
      </c>
    </row>
    <row r="47" spans="2:9" hidden="1" x14ac:dyDescent="0.2">
      <c r="B47" s="5"/>
      <c r="C47" t="s">
        <v>7</v>
      </c>
      <c r="E47" s="13">
        <v>1.4999999999999999E-2</v>
      </c>
      <c r="F47" s="14">
        <f>+F46*0.015</f>
        <v>0</v>
      </c>
      <c r="G47" s="14">
        <v>0</v>
      </c>
      <c r="H47" s="14">
        <v>0</v>
      </c>
      <c r="I47" s="14">
        <f t="shared" si="0"/>
        <v>0</v>
      </c>
    </row>
    <row r="48" spans="2:9" hidden="1" x14ac:dyDescent="0.2">
      <c r="B48" s="5"/>
      <c r="C48" t="s">
        <v>8</v>
      </c>
      <c r="E48" s="3" t="s">
        <v>52</v>
      </c>
      <c r="F48" s="14">
        <f>+F46*0.0765+0.027*1*7000*0</f>
        <v>0</v>
      </c>
      <c r="G48" s="14">
        <v>0</v>
      </c>
      <c r="H48" s="14">
        <v>0</v>
      </c>
      <c r="I48" s="14">
        <f t="shared" si="0"/>
        <v>0</v>
      </c>
    </row>
    <row r="49" spans="2:9" hidden="1" x14ac:dyDescent="0.2">
      <c r="B49" s="5"/>
      <c r="C49" t="s">
        <v>9</v>
      </c>
      <c r="E49" s="3" t="str">
        <f>CONCATENATE(ins," per month per employee")</f>
        <v>266.666666666666 per month per employee</v>
      </c>
      <c r="F49" s="14">
        <f>1*ins*12*0</f>
        <v>0</v>
      </c>
      <c r="G49" s="14">
        <v>0</v>
      </c>
      <c r="H49" s="14">
        <v>0</v>
      </c>
      <c r="I49" s="14">
        <f t="shared" si="0"/>
        <v>0</v>
      </c>
    </row>
    <row r="50" spans="2:9" ht="15" hidden="1" x14ac:dyDescent="0.35">
      <c r="B50" s="5"/>
      <c r="C50" t="s">
        <v>10</v>
      </c>
      <c r="E50" s="11" t="s">
        <v>53</v>
      </c>
      <c r="F50" s="4">
        <f>+F46*0.01</f>
        <v>0</v>
      </c>
      <c r="G50" s="4">
        <v>0</v>
      </c>
      <c r="H50" s="4">
        <v>0</v>
      </c>
      <c r="I50" s="4">
        <f t="shared" si="0"/>
        <v>0</v>
      </c>
    </row>
    <row r="51" spans="2:9" ht="15" hidden="1" x14ac:dyDescent="0.35">
      <c r="B51" s="5"/>
      <c r="D51" s="5" t="s">
        <v>111</v>
      </c>
      <c r="F51" s="6">
        <f>SUM(F47:F50)</f>
        <v>0</v>
      </c>
      <c r="G51" s="6">
        <v>0</v>
      </c>
      <c r="H51" s="6">
        <f>SUM(H47:H50)</f>
        <v>0</v>
      </c>
      <c r="I51" s="6">
        <f>SUM(I47:I50)</f>
        <v>0</v>
      </c>
    </row>
    <row r="52" spans="2:9" ht="15" hidden="1" x14ac:dyDescent="0.35">
      <c r="B52" s="5"/>
      <c r="C52" t="s">
        <v>13</v>
      </c>
      <c r="E52" s="3" t="s">
        <v>72</v>
      </c>
      <c r="F52" s="4" t="e">
        <f>300*#REF!*0</f>
        <v>#REF!</v>
      </c>
      <c r="G52" s="4">
        <v>0</v>
      </c>
      <c r="H52" s="4">
        <v>0</v>
      </c>
      <c r="I52" s="4">
        <f t="shared" si="0"/>
        <v>0</v>
      </c>
    </row>
    <row r="53" spans="2:9" ht="15" hidden="1" x14ac:dyDescent="0.35">
      <c r="B53" s="5"/>
      <c r="D53" s="5" t="s">
        <v>112</v>
      </c>
      <c r="F53" s="6" t="e">
        <f>SUM(F52)</f>
        <v>#REF!</v>
      </c>
      <c r="G53" s="6">
        <v>0</v>
      </c>
      <c r="H53" s="6">
        <f>SUM(H52)</f>
        <v>0</v>
      </c>
      <c r="I53" s="6">
        <f>SUM(I52)</f>
        <v>0</v>
      </c>
    </row>
    <row r="54" spans="2:9" ht="15" hidden="1" x14ac:dyDescent="0.35">
      <c r="B54" s="5" t="s">
        <v>84</v>
      </c>
      <c r="F54" s="6" t="e">
        <f>+F46+F51+F53</f>
        <v>#REF!</v>
      </c>
      <c r="G54" s="6">
        <v>0</v>
      </c>
      <c r="H54" s="6">
        <f>+H46+H51+H53</f>
        <v>0</v>
      </c>
      <c r="I54" s="6">
        <f>+I46+I51+I53</f>
        <v>0</v>
      </c>
    </row>
    <row r="55" spans="2:9" ht="15" hidden="1" x14ac:dyDescent="0.35">
      <c r="B55" s="5"/>
      <c r="F55" s="6"/>
      <c r="G55" s="6"/>
      <c r="H55" s="6"/>
      <c r="I55" s="6"/>
    </row>
    <row r="56" spans="2:9" hidden="1" x14ac:dyDescent="0.2">
      <c r="B56" s="5" t="s">
        <v>117</v>
      </c>
    </row>
    <row r="57" spans="2:9" ht="15" hidden="1" x14ac:dyDescent="0.35">
      <c r="B57" s="5"/>
      <c r="C57" t="s">
        <v>118</v>
      </c>
      <c r="F57" s="4">
        <f>Tchr*0</f>
        <v>0</v>
      </c>
      <c r="G57" s="4">
        <v>0</v>
      </c>
      <c r="H57" s="4">
        <v>0</v>
      </c>
      <c r="I57" s="4">
        <f t="shared" si="0"/>
        <v>0</v>
      </c>
    </row>
    <row r="58" spans="2:9" ht="15" hidden="1" x14ac:dyDescent="0.35">
      <c r="B58" s="5"/>
      <c r="C58" t="s">
        <v>114</v>
      </c>
      <c r="F58" s="4">
        <v>0</v>
      </c>
      <c r="G58" s="4">
        <v>0</v>
      </c>
      <c r="H58" s="4"/>
      <c r="I58" s="14">
        <f t="shared" si="0"/>
        <v>0</v>
      </c>
    </row>
    <row r="59" spans="2:9" ht="15" hidden="1" x14ac:dyDescent="0.35">
      <c r="B59" s="5"/>
      <c r="D59" s="5" t="s">
        <v>121</v>
      </c>
      <c r="F59" s="6">
        <f>SUM(F57:F58)</f>
        <v>0</v>
      </c>
      <c r="G59" s="6">
        <v>0</v>
      </c>
      <c r="H59" s="6">
        <f>SUM(H57:H58)</f>
        <v>0</v>
      </c>
      <c r="I59" s="6">
        <f>SUM(I57:I58)</f>
        <v>0</v>
      </c>
    </row>
    <row r="60" spans="2:9" hidden="1" x14ac:dyDescent="0.2">
      <c r="B60" s="5"/>
      <c r="C60" t="s">
        <v>7</v>
      </c>
      <c r="E60" s="13">
        <v>1.4999999999999999E-2</v>
      </c>
      <c r="F60" s="14">
        <f>+F59*0.015</f>
        <v>0</v>
      </c>
      <c r="G60" s="14">
        <v>0</v>
      </c>
      <c r="H60" s="14">
        <v>0</v>
      </c>
      <c r="I60" s="14">
        <f t="shared" si="0"/>
        <v>0</v>
      </c>
    </row>
    <row r="61" spans="2:9" hidden="1" x14ac:dyDescent="0.2">
      <c r="B61" s="5"/>
      <c r="C61" t="s">
        <v>8</v>
      </c>
      <c r="E61" s="3" t="s">
        <v>52</v>
      </c>
      <c r="F61" s="14">
        <f>+F59*0.0765+0.027*1*7000*0</f>
        <v>0</v>
      </c>
      <c r="G61" s="14">
        <v>0</v>
      </c>
      <c r="H61" s="14">
        <v>0</v>
      </c>
      <c r="I61" s="14">
        <f t="shared" si="0"/>
        <v>0</v>
      </c>
    </row>
    <row r="62" spans="2:9" hidden="1" x14ac:dyDescent="0.2">
      <c r="B62" s="5"/>
      <c r="C62" t="s">
        <v>9</v>
      </c>
      <c r="E62" s="3" t="str">
        <f>CONCATENATE(ins," per month per employee")</f>
        <v>266.666666666666 per month per employee</v>
      </c>
      <c r="F62" s="14">
        <f>1*ins*12*0</f>
        <v>0</v>
      </c>
      <c r="G62" s="14">
        <v>0</v>
      </c>
      <c r="H62" s="14">
        <v>0</v>
      </c>
      <c r="I62" s="14">
        <f t="shared" si="0"/>
        <v>0</v>
      </c>
    </row>
    <row r="63" spans="2:9" ht="15" hidden="1" x14ac:dyDescent="0.35">
      <c r="B63" s="5"/>
      <c r="C63" t="s">
        <v>10</v>
      </c>
      <c r="E63" s="11" t="s">
        <v>53</v>
      </c>
      <c r="F63" s="4">
        <f>+F59*0.01</f>
        <v>0</v>
      </c>
      <c r="G63" s="4">
        <v>0</v>
      </c>
      <c r="H63" s="4">
        <v>0</v>
      </c>
      <c r="I63" s="4">
        <f t="shared" si="0"/>
        <v>0</v>
      </c>
    </row>
    <row r="64" spans="2:9" ht="15" hidden="1" x14ac:dyDescent="0.35">
      <c r="B64" s="5"/>
      <c r="D64" s="5" t="s">
        <v>122</v>
      </c>
      <c r="F64" s="6">
        <f>SUM(F60:F63)</f>
        <v>0</v>
      </c>
      <c r="G64" s="6">
        <v>0</v>
      </c>
      <c r="H64" s="6">
        <f>SUM(H60:H63)</f>
        <v>0</v>
      </c>
      <c r="I64" s="6">
        <f>SUM(I60:I63)</f>
        <v>0</v>
      </c>
    </row>
    <row r="65" spans="2:9" hidden="1" x14ac:dyDescent="0.2">
      <c r="B65" s="5"/>
      <c r="C65" t="s">
        <v>13</v>
      </c>
      <c r="D65" s="5"/>
      <c r="F65" s="14" t="e">
        <f>10*F7*0</f>
        <v>#REF!</v>
      </c>
      <c r="G65" s="14">
        <v>0</v>
      </c>
      <c r="H65" s="14">
        <v>0</v>
      </c>
      <c r="I65" s="14">
        <f t="shared" si="0"/>
        <v>0</v>
      </c>
    </row>
    <row r="66" spans="2:9" hidden="1" x14ac:dyDescent="0.2">
      <c r="B66" s="5"/>
      <c r="C66" t="s">
        <v>120</v>
      </c>
      <c r="D66" s="5"/>
      <c r="F66" s="14" t="e">
        <f>3*F7*0</f>
        <v>#REF!</v>
      </c>
      <c r="G66" s="14">
        <v>0</v>
      </c>
      <c r="H66" s="14">
        <v>0</v>
      </c>
      <c r="I66" s="14">
        <f t="shared" si="0"/>
        <v>0</v>
      </c>
    </row>
    <row r="67" spans="2:9" ht="15" hidden="1" x14ac:dyDescent="0.35">
      <c r="B67" s="5"/>
      <c r="C67" t="s">
        <v>119</v>
      </c>
      <c r="F67" s="4" t="e">
        <f>10*F7*0</f>
        <v>#REF!</v>
      </c>
      <c r="G67" s="4">
        <v>0</v>
      </c>
      <c r="H67" s="4">
        <v>0</v>
      </c>
      <c r="I67" s="4">
        <f t="shared" si="0"/>
        <v>0</v>
      </c>
    </row>
    <row r="68" spans="2:9" ht="15" hidden="1" x14ac:dyDescent="0.35">
      <c r="B68" s="5"/>
      <c r="D68" s="5" t="s">
        <v>123</v>
      </c>
      <c r="F68" s="6" t="e">
        <f>SUM(F65:F67)</f>
        <v>#REF!</v>
      </c>
      <c r="G68" s="6">
        <v>0</v>
      </c>
      <c r="H68" s="6">
        <f>SUM(H65:H67)</f>
        <v>0</v>
      </c>
      <c r="I68" s="6">
        <f>SUM(I65:I67)</f>
        <v>0</v>
      </c>
    </row>
    <row r="69" spans="2:9" ht="15" hidden="1" x14ac:dyDescent="0.35">
      <c r="B69" s="5" t="s">
        <v>124</v>
      </c>
      <c r="F69" s="6" t="e">
        <f>+F59+F64+F68</f>
        <v>#REF!</v>
      </c>
      <c r="G69" s="6">
        <v>0</v>
      </c>
      <c r="H69" s="6">
        <f>+H59+H64+H68</f>
        <v>0</v>
      </c>
      <c r="I69" s="6">
        <f>+I59+I64+I68</f>
        <v>0</v>
      </c>
    </row>
    <row r="70" spans="2:9" hidden="1" x14ac:dyDescent="0.2"/>
    <row r="71" spans="2:9" hidden="1" x14ac:dyDescent="0.2">
      <c r="B71" s="5" t="s">
        <v>91</v>
      </c>
    </row>
    <row r="72" spans="2:9" ht="15" hidden="1" x14ac:dyDescent="0.35">
      <c r="C72" s="5" t="s">
        <v>11</v>
      </c>
      <c r="D72" s="5"/>
      <c r="E72" s="3" t="s">
        <v>54</v>
      </c>
      <c r="F72" s="6">
        <v>4500</v>
      </c>
      <c r="G72" s="6">
        <v>0</v>
      </c>
      <c r="H72" s="6">
        <f>+G72</f>
        <v>0</v>
      </c>
      <c r="I72" s="6">
        <f>+G72-H72</f>
        <v>0</v>
      </c>
    </row>
    <row r="73" spans="2:9" x14ac:dyDescent="0.2">
      <c r="E73"/>
      <c r="F73"/>
      <c r="G73"/>
      <c r="H73"/>
      <c r="I73"/>
    </row>
    <row r="74" spans="2:9" x14ac:dyDescent="0.2">
      <c r="B74" s="5" t="s">
        <v>19</v>
      </c>
    </row>
    <row r="75" spans="2:9" ht="15" x14ac:dyDescent="0.35">
      <c r="C75" s="5" t="s">
        <v>11</v>
      </c>
      <c r="D75" s="5"/>
      <c r="E75" s="3" t="s">
        <v>54</v>
      </c>
      <c r="F75" s="6" t="e">
        <f>+#REF!*750</f>
        <v>#REF!</v>
      </c>
      <c r="G75" s="6">
        <v>7650</v>
      </c>
      <c r="H75" s="6" t="e">
        <f>+#REF!*750</f>
        <v>#REF!</v>
      </c>
      <c r="I75" s="6" t="e">
        <f>+G75-H75</f>
        <v>#REF!</v>
      </c>
    </row>
    <row r="77" spans="2:9" x14ac:dyDescent="0.2">
      <c r="B77" s="5" t="s">
        <v>24</v>
      </c>
    </row>
    <row r="78" spans="2:9" x14ac:dyDescent="0.2">
      <c r="C78" t="s">
        <v>20</v>
      </c>
      <c r="E78" s="3" t="s">
        <v>54</v>
      </c>
      <c r="F78" s="14">
        <v>2000</v>
      </c>
      <c r="G78" s="14">
        <v>2000</v>
      </c>
      <c r="H78" s="14">
        <v>0</v>
      </c>
      <c r="I78" s="14">
        <f t="shared" ref="I78:I141" si="1">+G78-H78</f>
        <v>2000</v>
      </c>
    </row>
    <row r="79" spans="2:9" x14ac:dyDescent="0.2">
      <c r="C79" t="s">
        <v>157</v>
      </c>
      <c r="E79" s="3" t="s">
        <v>54</v>
      </c>
      <c r="F79" s="14">
        <f>0.1*F13</f>
        <v>98120.200000000012</v>
      </c>
      <c r="G79" s="14">
        <v>131904.05617021277</v>
      </c>
      <c r="H79" s="14">
        <v>0</v>
      </c>
      <c r="I79" s="14">
        <f t="shared" si="1"/>
        <v>131904.05617021277</v>
      </c>
    </row>
    <row r="80" spans="2:9" x14ac:dyDescent="0.2">
      <c r="C80" t="s">
        <v>76</v>
      </c>
      <c r="E80" s="3" t="s">
        <v>54</v>
      </c>
      <c r="F80" s="14">
        <v>9000</v>
      </c>
      <c r="G80" s="14">
        <v>9180</v>
      </c>
      <c r="H80" s="14">
        <v>0</v>
      </c>
      <c r="I80" s="14">
        <f t="shared" si="1"/>
        <v>9180</v>
      </c>
    </row>
    <row r="81" spans="2:9" hidden="1" x14ac:dyDescent="0.2">
      <c r="C81" t="s">
        <v>93</v>
      </c>
      <c r="E81" s="3" t="s">
        <v>54</v>
      </c>
      <c r="F81" s="14">
        <v>4000</v>
      </c>
      <c r="G81" s="14">
        <v>0</v>
      </c>
      <c r="H81" s="14">
        <f>+G81</f>
        <v>0</v>
      </c>
      <c r="I81" s="14">
        <f t="shared" si="1"/>
        <v>0</v>
      </c>
    </row>
    <row r="82" spans="2:9" x14ac:dyDescent="0.2">
      <c r="C82" t="s">
        <v>12</v>
      </c>
      <c r="E82" s="3" t="s">
        <v>54</v>
      </c>
      <c r="F82" s="14">
        <v>4000</v>
      </c>
      <c r="G82" s="14">
        <v>4080</v>
      </c>
      <c r="H82" s="14">
        <v>0</v>
      </c>
      <c r="I82" s="14">
        <f t="shared" si="1"/>
        <v>4080</v>
      </c>
    </row>
    <row r="83" spans="2:9" x14ac:dyDescent="0.2">
      <c r="C83" t="s">
        <v>21</v>
      </c>
      <c r="E83" s="3" t="s">
        <v>54</v>
      </c>
      <c r="F83" s="14">
        <v>9000</v>
      </c>
      <c r="G83" s="14">
        <v>9180</v>
      </c>
      <c r="H83" s="14">
        <v>0</v>
      </c>
      <c r="I83" s="14">
        <f t="shared" si="1"/>
        <v>9180</v>
      </c>
    </row>
    <row r="84" spans="2:9" x14ac:dyDescent="0.2">
      <c r="C84" t="s">
        <v>22</v>
      </c>
      <c r="F84" s="14">
        <f>0.05*F13</f>
        <v>49060.100000000006</v>
      </c>
      <c r="G84" s="14">
        <v>65952.028085106387</v>
      </c>
      <c r="H84" s="14">
        <v>0</v>
      </c>
      <c r="I84" s="14">
        <f t="shared" si="1"/>
        <v>65952.028085106387</v>
      </c>
    </row>
    <row r="85" spans="2:9" ht="15" x14ac:dyDescent="0.35">
      <c r="C85" t="s">
        <v>92</v>
      </c>
      <c r="E85" s="16">
        <v>0.03</v>
      </c>
      <c r="F85" s="4" t="e">
        <f>0.03*F14</f>
        <v>#REF!</v>
      </c>
      <c r="G85" s="4">
        <v>2616</v>
      </c>
      <c r="H85" s="4">
        <f>+G85</f>
        <v>2616</v>
      </c>
      <c r="I85" s="4">
        <f t="shared" si="1"/>
        <v>0</v>
      </c>
    </row>
    <row r="86" spans="2:9" ht="15" x14ac:dyDescent="0.35">
      <c r="B86" s="5" t="s">
        <v>23</v>
      </c>
      <c r="C86" s="5"/>
      <c r="D86" s="5"/>
      <c r="E86" s="9"/>
      <c r="F86" s="6" t="e">
        <f>SUM(F78:F85)</f>
        <v>#REF!</v>
      </c>
      <c r="G86" s="6">
        <v>224912.08425531915</v>
      </c>
      <c r="H86" s="6">
        <f>SUM(H78:H85)</f>
        <v>2616</v>
      </c>
      <c r="I86" s="6">
        <f>SUM(I78:I85)</f>
        <v>222296.08425531915</v>
      </c>
    </row>
    <row r="87" spans="2:9" x14ac:dyDescent="0.2">
      <c r="F87" s="3"/>
      <c r="G87" s="3"/>
      <c r="H87" s="3"/>
      <c r="I87" s="14">
        <f t="shared" si="1"/>
        <v>0</v>
      </c>
    </row>
    <row r="88" spans="2:9" x14ac:dyDescent="0.2">
      <c r="B88" s="5" t="s">
        <v>26</v>
      </c>
      <c r="F88" s="3"/>
      <c r="G88" s="3"/>
      <c r="H88" s="3"/>
      <c r="I88" s="14">
        <f t="shared" si="1"/>
        <v>0</v>
      </c>
    </row>
    <row r="89" spans="2:9" x14ac:dyDescent="0.2">
      <c r="C89" t="s">
        <v>131</v>
      </c>
      <c r="E89" s="3" t="s">
        <v>135</v>
      </c>
      <c r="F89" s="14">
        <f>75000/12*13</f>
        <v>81250</v>
      </c>
      <c r="G89" s="14">
        <v>76500</v>
      </c>
      <c r="H89" s="14">
        <v>0</v>
      </c>
      <c r="I89" s="14">
        <f t="shared" si="1"/>
        <v>76500</v>
      </c>
    </row>
    <row r="90" spans="2:9" hidden="1" x14ac:dyDescent="0.2">
      <c r="C90" t="s">
        <v>132</v>
      </c>
      <c r="E90" s="3" t="s">
        <v>145</v>
      </c>
      <c r="F90" s="14">
        <v>0</v>
      </c>
      <c r="G90" s="14">
        <v>0</v>
      </c>
      <c r="H90" s="14">
        <v>0</v>
      </c>
      <c r="I90" s="14">
        <f t="shared" si="1"/>
        <v>0</v>
      </c>
    </row>
    <row r="91" spans="2:9" hidden="1" x14ac:dyDescent="0.2">
      <c r="C91" t="s">
        <v>133</v>
      </c>
      <c r="E91" s="3" t="s">
        <v>136</v>
      </c>
      <c r="F91" s="14">
        <f>Tchr*0</f>
        <v>0</v>
      </c>
      <c r="G91" s="14">
        <v>0</v>
      </c>
      <c r="I91" s="14">
        <f t="shared" si="1"/>
        <v>0</v>
      </c>
    </row>
    <row r="92" spans="2:9" ht="15" x14ac:dyDescent="0.35">
      <c r="C92" t="s">
        <v>134</v>
      </c>
      <c r="E92" s="3" t="s">
        <v>135</v>
      </c>
      <c r="F92" s="4">
        <f>15*40*52/12*13+12*40*52</f>
        <v>58760</v>
      </c>
      <c r="G92" s="4">
        <v>31824</v>
      </c>
      <c r="H92" s="4">
        <v>0</v>
      </c>
      <c r="I92" s="4">
        <f t="shared" si="1"/>
        <v>31824</v>
      </c>
    </row>
    <row r="93" spans="2:9" ht="15" x14ac:dyDescent="0.35">
      <c r="D93" s="5" t="s">
        <v>27</v>
      </c>
      <c r="E93" s="9"/>
      <c r="F93" s="6">
        <f>SUM(F89:F92)</f>
        <v>140010</v>
      </c>
      <c r="G93" s="6">
        <v>108324</v>
      </c>
      <c r="H93" s="6">
        <f>SUM(H89:H92)</f>
        <v>0</v>
      </c>
      <c r="I93" s="6">
        <f>SUM(I89:I92)</f>
        <v>108324</v>
      </c>
    </row>
    <row r="94" spans="2:9" x14ac:dyDescent="0.2">
      <c r="C94" t="s">
        <v>7</v>
      </c>
      <c r="E94" s="13">
        <v>1.4999999999999999E-2</v>
      </c>
      <c r="F94" s="14">
        <f>+F93*0.015</f>
        <v>2100.15</v>
      </c>
      <c r="G94" s="14">
        <v>1624.86</v>
      </c>
      <c r="H94" s="14">
        <f>+H93*0.015</f>
        <v>0</v>
      </c>
      <c r="I94" s="14">
        <f t="shared" si="1"/>
        <v>1624.86</v>
      </c>
    </row>
    <row r="95" spans="2:9" x14ac:dyDescent="0.2">
      <c r="C95" t="s">
        <v>8</v>
      </c>
      <c r="E95" s="3" t="s">
        <v>52</v>
      </c>
      <c r="F95" s="14">
        <f>+F93*0.0765+0.027*3*7000</f>
        <v>11277.764999999999</v>
      </c>
      <c r="G95" s="14">
        <v>8664.7860000000001</v>
      </c>
      <c r="H95" s="14">
        <f>+H93*0.0765+0.027*H93</f>
        <v>0</v>
      </c>
      <c r="I95" s="14">
        <f t="shared" si="1"/>
        <v>8664.7860000000001</v>
      </c>
    </row>
    <row r="96" spans="2:9" x14ac:dyDescent="0.2">
      <c r="C96" t="s">
        <v>9</v>
      </c>
      <c r="E96" s="3" t="str">
        <f>CONCATENATE(ins," per month per employee")</f>
        <v>266.666666666666 per month per employee</v>
      </c>
      <c r="F96" s="14">
        <f>3*ins*12</f>
        <v>9599.9999999999909</v>
      </c>
      <c r="G96" s="14">
        <v>6120</v>
      </c>
      <c r="H96" s="14">
        <v>0</v>
      </c>
      <c r="I96" s="14">
        <f t="shared" si="1"/>
        <v>6120</v>
      </c>
    </row>
    <row r="97" spans="2:9" ht="15" x14ac:dyDescent="0.35">
      <c r="C97" t="s">
        <v>10</v>
      </c>
      <c r="E97" s="11" t="s">
        <v>53</v>
      </c>
      <c r="F97" s="4">
        <f>+F93*0.01</f>
        <v>1400.1000000000001</v>
      </c>
      <c r="G97" s="4">
        <v>1083.24</v>
      </c>
      <c r="H97" s="4">
        <f>+H93*0.01</f>
        <v>0</v>
      </c>
      <c r="I97" s="4">
        <f t="shared" si="1"/>
        <v>1083.24</v>
      </c>
    </row>
    <row r="98" spans="2:9" ht="15" x14ac:dyDescent="0.35">
      <c r="D98" s="5" t="s">
        <v>28</v>
      </c>
      <c r="E98" s="9"/>
      <c r="F98" s="6">
        <f>SUM(F94:F97)</f>
        <v>24378.014999999989</v>
      </c>
      <c r="G98" s="6">
        <v>17492.886000000002</v>
      </c>
      <c r="H98" s="6">
        <f>SUM(H94:H97)</f>
        <v>0</v>
      </c>
      <c r="I98" s="6">
        <f>SUM(I94:I97)</f>
        <v>17492.886000000002</v>
      </c>
    </row>
    <row r="99" spans="2:9" x14ac:dyDescent="0.2">
      <c r="C99" t="s">
        <v>12</v>
      </c>
      <c r="E99" s="3" t="s">
        <v>54</v>
      </c>
      <c r="F99" s="14">
        <v>2000</v>
      </c>
      <c r="G99" s="14">
        <v>2040</v>
      </c>
      <c r="H99" s="14">
        <v>0</v>
      </c>
      <c r="I99" s="14">
        <f t="shared" si="1"/>
        <v>2040</v>
      </c>
    </row>
    <row r="100" spans="2:9" x14ac:dyDescent="0.2">
      <c r="C100" t="s">
        <v>29</v>
      </c>
      <c r="E100" s="3" t="s">
        <v>138</v>
      </c>
      <c r="F100" s="14">
        <f>750*12</f>
        <v>9000</v>
      </c>
      <c r="G100" s="14">
        <v>9180</v>
      </c>
      <c r="H100" s="14">
        <v>0</v>
      </c>
      <c r="I100" s="14">
        <f t="shared" si="1"/>
        <v>9180</v>
      </c>
    </row>
    <row r="101" spans="2:9" x14ac:dyDescent="0.2">
      <c r="C101" t="s">
        <v>30</v>
      </c>
      <c r="E101" s="3" t="s">
        <v>54</v>
      </c>
      <c r="F101" s="14">
        <v>3600</v>
      </c>
      <c r="G101" s="14">
        <v>3672</v>
      </c>
      <c r="H101" s="14">
        <v>0</v>
      </c>
      <c r="I101" s="14">
        <f t="shared" si="1"/>
        <v>3672</v>
      </c>
    </row>
    <row r="102" spans="2:9" x14ac:dyDescent="0.2">
      <c r="C102" t="s">
        <v>73</v>
      </c>
      <c r="E102" s="3" t="s">
        <v>54</v>
      </c>
      <c r="F102" s="14">
        <v>7500</v>
      </c>
      <c r="G102" s="14">
        <v>2000</v>
      </c>
      <c r="H102" s="14">
        <f>+G102</f>
        <v>2000</v>
      </c>
      <c r="I102" s="14">
        <f t="shared" si="1"/>
        <v>0</v>
      </c>
    </row>
    <row r="103" spans="2:9" x14ac:dyDescent="0.2">
      <c r="C103" t="s">
        <v>13</v>
      </c>
      <c r="E103" s="3" t="s">
        <v>54</v>
      </c>
      <c r="F103" s="14">
        <f>300*12</f>
        <v>3600</v>
      </c>
      <c r="G103" s="14">
        <v>4590</v>
      </c>
      <c r="H103" s="14">
        <v>0</v>
      </c>
      <c r="I103" s="14">
        <f t="shared" si="1"/>
        <v>4590</v>
      </c>
    </row>
    <row r="104" spans="2:9" x14ac:dyDescent="0.2">
      <c r="C104" t="s">
        <v>15</v>
      </c>
      <c r="E104" s="3" t="s">
        <v>54</v>
      </c>
      <c r="F104" s="14">
        <v>4000</v>
      </c>
      <c r="G104" s="14">
        <v>1360</v>
      </c>
      <c r="H104" s="14">
        <f>+G104</f>
        <v>1360</v>
      </c>
      <c r="I104" s="14">
        <f t="shared" si="1"/>
        <v>0</v>
      </c>
    </row>
    <row r="105" spans="2:9" ht="15" x14ac:dyDescent="0.35">
      <c r="C105" t="s">
        <v>16</v>
      </c>
      <c r="E105" s="3" t="s">
        <v>54</v>
      </c>
      <c r="F105" s="4">
        <v>2500</v>
      </c>
      <c r="G105" s="4">
        <v>510</v>
      </c>
      <c r="H105" s="4">
        <f>+G105</f>
        <v>510</v>
      </c>
      <c r="I105" s="4">
        <f t="shared" si="1"/>
        <v>0</v>
      </c>
    </row>
    <row r="106" spans="2:9" ht="15" x14ac:dyDescent="0.35">
      <c r="B106" s="5"/>
      <c r="C106" s="5"/>
      <c r="D106" s="5" t="s">
        <v>31</v>
      </c>
      <c r="E106" s="9"/>
      <c r="F106" s="6">
        <f>SUM(F99:F105)</f>
        <v>32200</v>
      </c>
      <c r="G106" s="6">
        <v>23352</v>
      </c>
      <c r="H106" s="6">
        <f>SUM(H99:H105)</f>
        <v>3870</v>
      </c>
      <c r="I106" s="6">
        <f>SUM(I99:I105)</f>
        <v>19482</v>
      </c>
    </row>
    <row r="107" spans="2:9" ht="15" x14ac:dyDescent="0.35">
      <c r="B107" s="5" t="s">
        <v>32</v>
      </c>
      <c r="C107" s="5"/>
      <c r="D107" s="5"/>
      <c r="E107" s="9"/>
      <c r="F107" s="6">
        <f>SUM(F106,F98,F93)</f>
        <v>196588.01499999998</v>
      </c>
      <c r="G107" s="6">
        <v>149168.886</v>
      </c>
      <c r="H107" s="6">
        <f>SUM(H106,H98,H93)</f>
        <v>3870</v>
      </c>
      <c r="I107" s="6">
        <f>SUM(I106,I98,I93)</f>
        <v>145298.886</v>
      </c>
    </row>
    <row r="108" spans="2:9" x14ac:dyDescent="0.2">
      <c r="I108" s="14">
        <f t="shared" si="1"/>
        <v>0</v>
      </c>
    </row>
    <row r="109" spans="2:9" x14ac:dyDescent="0.2">
      <c r="B109" s="5" t="s">
        <v>50</v>
      </c>
      <c r="I109" s="14">
        <f t="shared" si="1"/>
        <v>0</v>
      </c>
    </row>
    <row r="110" spans="2:9" ht="13.5" customHeight="1" x14ac:dyDescent="0.35">
      <c r="B110" s="5"/>
      <c r="C110" t="s">
        <v>33</v>
      </c>
      <c r="F110" s="4" t="e">
        <f>37500+30*F7</f>
        <v>#REF!</v>
      </c>
      <c r="G110" s="4">
        <v>82300</v>
      </c>
      <c r="H110" s="4">
        <v>0</v>
      </c>
      <c r="I110" s="4">
        <f t="shared" si="1"/>
        <v>82300</v>
      </c>
    </row>
    <row r="111" spans="2:9" ht="13.5" hidden="1" customHeight="1" x14ac:dyDescent="0.2">
      <c r="B111" s="5"/>
      <c r="C111" t="s">
        <v>78</v>
      </c>
      <c r="E111" s="3" t="s">
        <v>139</v>
      </c>
      <c r="F111" s="14">
        <f>2500</f>
        <v>2500</v>
      </c>
      <c r="G111" s="14">
        <v>0</v>
      </c>
      <c r="H111" s="14">
        <f>+G111</f>
        <v>0</v>
      </c>
      <c r="I111" s="14">
        <f t="shared" si="1"/>
        <v>0</v>
      </c>
    </row>
    <row r="112" spans="2:9" ht="13.5" hidden="1" customHeight="1" x14ac:dyDescent="0.35">
      <c r="B112" s="5"/>
      <c r="C112" t="s">
        <v>79</v>
      </c>
      <c r="E112" s="3" t="s">
        <v>54</v>
      </c>
      <c r="F112" s="4">
        <v>3000</v>
      </c>
      <c r="G112" s="4">
        <v>0</v>
      </c>
      <c r="H112" s="4">
        <f>+G112</f>
        <v>0</v>
      </c>
      <c r="I112" s="4">
        <f t="shared" si="1"/>
        <v>0</v>
      </c>
    </row>
    <row r="113" spans="2:9" ht="15" x14ac:dyDescent="0.35">
      <c r="B113" s="5" t="s">
        <v>77</v>
      </c>
      <c r="C113" s="5"/>
      <c r="D113" s="5"/>
      <c r="E113" s="9"/>
      <c r="F113" s="6" t="e">
        <f>SUM(F110:F112)</f>
        <v>#REF!</v>
      </c>
      <c r="G113" s="6">
        <v>82300</v>
      </c>
      <c r="H113" s="6">
        <f>SUM(H110:H112)</f>
        <v>0</v>
      </c>
      <c r="I113" s="6">
        <f>SUM(I110:I112)</f>
        <v>82300</v>
      </c>
    </row>
    <row r="114" spans="2:9" hidden="1" x14ac:dyDescent="0.2"/>
    <row r="115" spans="2:9" hidden="1" x14ac:dyDescent="0.2">
      <c r="B115" s="5" t="s">
        <v>34</v>
      </c>
    </row>
    <row r="116" spans="2:9" hidden="1" x14ac:dyDescent="0.2">
      <c r="C116" t="s">
        <v>46</v>
      </c>
      <c r="E116" s="11" t="s">
        <v>85</v>
      </c>
      <c r="F116" s="14">
        <f>IF(Misc!B25=0,('Yr2'!F13-F84)*0.03,150000+Misc!B25)*0</f>
        <v>0</v>
      </c>
      <c r="G116" s="14">
        <v>0</v>
      </c>
      <c r="H116" s="14">
        <f>IF(Misc!D25=0,('Yr1'!H13-H84)*0.03,150000+Misc!D25)*0</f>
        <v>0</v>
      </c>
      <c r="I116" s="14">
        <f>IF(Misc!E25=0,('Yr1'!I13-I84)*0.03,150000+Misc!E25)*0</f>
        <v>0</v>
      </c>
    </row>
    <row r="117" spans="2:9" ht="15" hidden="1" x14ac:dyDescent="0.35">
      <c r="C117" t="s">
        <v>47</v>
      </c>
      <c r="E117" s="11" t="s">
        <v>86</v>
      </c>
      <c r="F117" s="4" t="e">
        <f>0.0325*(F25+F73+F93)*0</f>
        <v>#REF!</v>
      </c>
      <c r="G117" s="4">
        <v>0</v>
      </c>
      <c r="H117" s="4">
        <f>0.0325*(H25+H73+H93)*0</f>
        <v>0</v>
      </c>
      <c r="I117" s="4">
        <f>0.0325*(I25+I73+I93)*0</f>
        <v>0</v>
      </c>
    </row>
    <row r="118" spans="2:9" ht="15" hidden="1" x14ac:dyDescent="0.35">
      <c r="B118" s="5" t="s">
        <v>48</v>
      </c>
      <c r="C118" s="5"/>
      <c r="D118" s="5"/>
      <c r="E118" s="9"/>
      <c r="F118" s="6" t="e">
        <f>SUM(F116:F117)</f>
        <v>#REF!</v>
      </c>
      <c r="G118" s="6">
        <v>0</v>
      </c>
      <c r="H118" s="6">
        <f>SUM(H116:H117)</f>
        <v>0</v>
      </c>
      <c r="I118" s="6">
        <f>SUM(I116:I117)</f>
        <v>0</v>
      </c>
    </row>
    <row r="119" spans="2:9" ht="15" x14ac:dyDescent="0.35">
      <c r="B119" s="5"/>
      <c r="C119" s="5"/>
      <c r="D119" s="5"/>
      <c r="E119" s="9"/>
      <c r="F119" s="6"/>
      <c r="G119" s="6"/>
      <c r="H119" s="6"/>
      <c r="I119" s="6"/>
    </row>
    <row r="120" spans="2:9" x14ac:dyDescent="0.2">
      <c r="B120" s="5" t="s">
        <v>80</v>
      </c>
    </row>
    <row r="121" spans="2:9" ht="15" x14ac:dyDescent="0.35">
      <c r="C121" t="s">
        <v>147</v>
      </c>
      <c r="E121" s="3" t="s">
        <v>135</v>
      </c>
      <c r="F121" s="4">
        <f>2*12*4*180</f>
        <v>17280</v>
      </c>
      <c r="G121" s="4">
        <v>17625.599999999999</v>
      </c>
      <c r="H121" s="4">
        <v>0</v>
      </c>
      <c r="I121" s="4">
        <f t="shared" si="1"/>
        <v>17625.599999999999</v>
      </c>
    </row>
    <row r="122" spans="2:9" ht="15" x14ac:dyDescent="0.35">
      <c r="D122" s="5" t="s">
        <v>148</v>
      </c>
      <c r="E122" s="9"/>
      <c r="F122" s="6">
        <f>SUM(F121)</f>
        <v>17280</v>
      </c>
      <c r="G122" s="6">
        <v>17625.599999999999</v>
      </c>
      <c r="H122" s="6">
        <f>SUM(H121)</f>
        <v>0</v>
      </c>
      <c r="I122" s="6">
        <f>SUM(I121)</f>
        <v>17625.599999999999</v>
      </c>
    </row>
    <row r="123" spans="2:9" x14ac:dyDescent="0.2">
      <c r="C123" t="s">
        <v>7</v>
      </c>
      <c r="E123" s="13">
        <v>1.4999999999999999E-2</v>
      </c>
      <c r="F123" s="14">
        <f>+F122*0.015</f>
        <v>259.2</v>
      </c>
      <c r="G123" s="14">
        <v>264.38399999999996</v>
      </c>
      <c r="H123" s="14">
        <v>0</v>
      </c>
      <c r="I123" s="14">
        <f t="shared" si="1"/>
        <v>264.38399999999996</v>
      </c>
    </row>
    <row r="124" spans="2:9" x14ac:dyDescent="0.2">
      <c r="C124" t="s">
        <v>8</v>
      </c>
      <c r="E124" s="3" t="s">
        <v>52</v>
      </c>
      <c r="F124" s="14">
        <f>+F122*0.0765+0.027*2*7000</f>
        <v>1699.92</v>
      </c>
      <c r="G124" s="14">
        <v>1726.3583999999998</v>
      </c>
      <c r="H124" s="14">
        <v>0</v>
      </c>
      <c r="I124" s="14">
        <f t="shared" si="1"/>
        <v>1726.3583999999998</v>
      </c>
    </row>
    <row r="125" spans="2:9" hidden="1" x14ac:dyDescent="0.2">
      <c r="C125" t="s">
        <v>9</v>
      </c>
      <c r="E125" s="3" t="str">
        <f>CONCATENATE(ins," per month per employee")</f>
        <v>266.666666666666 per month per employee</v>
      </c>
      <c r="F125" s="14">
        <f>2*ins*12*0</f>
        <v>0</v>
      </c>
      <c r="G125" s="14">
        <v>0</v>
      </c>
      <c r="H125" s="14">
        <v>0</v>
      </c>
      <c r="I125" s="14">
        <f t="shared" si="1"/>
        <v>0</v>
      </c>
    </row>
    <row r="126" spans="2:9" ht="15" x14ac:dyDescent="0.35">
      <c r="C126" t="s">
        <v>10</v>
      </c>
      <c r="E126" s="11" t="s">
        <v>53</v>
      </c>
      <c r="F126" s="4">
        <f>+F122*0.01</f>
        <v>172.8</v>
      </c>
      <c r="G126" s="4">
        <v>176.256</v>
      </c>
      <c r="H126" s="4">
        <v>0</v>
      </c>
      <c r="I126" s="4">
        <f t="shared" si="1"/>
        <v>176.256</v>
      </c>
    </row>
    <row r="127" spans="2:9" ht="15" x14ac:dyDescent="0.35">
      <c r="D127" s="5" t="s">
        <v>149</v>
      </c>
      <c r="E127" s="9"/>
      <c r="F127" s="6">
        <f>SUM(F123:F126)</f>
        <v>2131.92</v>
      </c>
      <c r="G127" s="6">
        <v>2166.9983999999999</v>
      </c>
      <c r="H127" s="6">
        <f>SUM(H123:H126)</f>
        <v>0</v>
      </c>
      <c r="I127" s="6">
        <f>SUM(I123:I126)</f>
        <v>2166.9983999999999</v>
      </c>
    </row>
    <row r="128" spans="2:9" ht="15" x14ac:dyDescent="0.35">
      <c r="B128" s="5"/>
      <c r="C128" t="s">
        <v>11</v>
      </c>
      <c r="F128" s="4" t="e">
        <f>1.1*180*F7*0.8</f>
        <v>#REF!</v>
      </c>
      <c r="G128" s="4">
        <v>36191.232000000004</v>
      </c>
      <c r="H128" s="4">
        <v>0</v>
      </c>
      <c r="I128" s="14">
        <f t="shared" si="1"/>
        <v>36191.232000000004</v>
      </c>
    </row>
    <row r="129" spans="2:9" ht="15" x14ac:dyDescent="0.35">
      <c r="D129" s="5" t="s">
        <v>150</v>
      </c>
      <c r="E129" s="9"/>
      <c r="F129" s="6" t="e">
        <f>SUM(F128)</f>
        <v>#REF!</v>
      </c>
      <c r="G129" s="6">
        <v>36191.232000000004</v>
      </c>
      <c r="H129" s="6">
        <f>SUM(H128)</f>
        <v>0</v>
      </c>
      <c r="I129" s="6">
        <f>SUM(I128)</f>
        <v>36191.232000000004</v>
      </c>
    </row>
    <row r="130" spans="2:9" ht="15" x14ac:dyDescent="0.35">
      <c r="B130" s="5" t="s">
        <v>151</v>
      </c>
      <c r="C130" s="5"/>
      <c r="D130" s="5"/>
      <c r="E130" s="3" t="s">
        <v>141</v>
      </c>
      <c r="F130" s="6" t="e">
        <f>+F122+F127+F129</f>
        <v>#REF!</v>
      </c>
      <c r="G130" s="6">
        <v>55983.830400000006</v>
      </c>
      <c r="H130" s="6">
        <f>+H122+H127+H129</f>
        <v>0</v>
      </c>
      <c r="I130" s="6">
        <f>+I122+I127+I129</f>
        <v>55983.830400000006</v>
      </c>
    </row>
    <row r="132" spans="2:9" x14ac:dyDescent="0.2">
      <c r="B132" s="5" t="s">
        <v>35</v>
      </c>
    </row>
    <row r="133" spans="2:9" ht="15" x14ac:dyDescent="0.35">
      <c r="C133" s="5" t="s">
        <v>11</v>
      </c>
      <c r="D133" s="5"/>
      <c r="E133" s="3" t="s">
        <v>108</v>
      </c>
      <c r="F133" s="6" t="e">
        <f>603.75*F7/2</f>
        <v>#REF!</v>
      </c>
      <c r="G133" s="6">
        <v>68972.399999999994</v>
      </c>
      <c r="H133" s="6">
        <f>603.75*H7/2</f>
        <v>0</v>
      </c>
      <c r="I133" s="6">
        <f>+G133-H133:H133</f>
        <v>68972.399999999994</v>
      </c>
    </row>
    <row r="135" spans="2:9" x14ac:dyDescent="0.2">
      <c r="B135" s="5" t="s">
        <v>36</v>
      </c>
    </row>
    <row r="136" spans="2:9" ht="15" x14ac:dyDescent="0.35">
      <c r="C136" t="s">
        <v>152</v>
      </c>
      <c r="E136" s="3" t="s">
        <v>135</v>
      </c>
      <c r="F136" s="4">
        <v>35000</v>
      </c>
      <c r="G136" s="4">
        <v>35700</v>
      </c>
      <c r="H136" s="4">
        <v>0</v>
      </c>
      <c r="I136" s="4">
        <f t="shared" si="1"/>
        <v>35700</v>
      </c>
    </row>
    <row r="137" spans="2:9" ht="15" x14ac:dyDescent="0.35">
      <c r="D137" s="5" t="s">
        <v>153</v>
      </c>
      <c r="E137" s="9"/>
      <c r="F137" s="6">
        <f>SUM(F136)</f>
        <v>35000</v>
      </c>
      <c r="G137" s="6">
        <v>35700</v>
      </c>
      <c r="H137" s="6">
        <f>SUM(H136)</f>
        <v>0</v>
      </c>
      <c r="I137" s="6">
        <f>SUM(I136)</f>
        <v>35700</v>
      </c>
    </row>
    <row r="138" spans="2:9" x14ac:dyDescent="0.2">
      <c r="C138" t="s">
        <v>7</v>
      </c>
      <c r="E138" s="13">
        <v>1.4999999999999999E-2</v>
      </c>
      <c r="F138" s="14">
        <f>+F137*0.015</f>
        <v>525</v>
      </c>
      <c r="G138" s="14">
        <v>535.5</v>
      </c>
      <c r="H138" s="14">
        <v>0</v>
      </c>
      <c r="I138" s="14">
        <f t="shared" si="1"/>
        <v>535.5</v>
      </c>
    </row>
    <row r="139" spans="2:9" x14ac:dyDescent="0.2">
      <c r="C139" t="s">
        <v>8</v>
      </c>
      <c r="E139" s="3" t="s">
        <v>52</v>
      </c>
      <c r="F139" s="14">
        <f>+F137*0.0765+0.027*2*7000</f>
        <v>3055.5</v>
      </c>
      <c r="G139" s="14">
        <v>3109.05</v>
      </c>
      <c r="H139" s="14">
        <v>0</v>
      </c>
      <c r="I139" s="14">
        <f t="shared" si="1"/>
        <v>3109.05</v>
      </c>
    </row>
    <row r="140" spans="2:9" x14ac:dyDescent="0.2">
      <c r="C140" t="s">
        <v>9</v>
      </c>
      <c r="E140" s="3" t="str">
        <f>CONCATENATE(ins," per month per employee")</f>
        <v>266.666666666666 per month per employee</v>
      </c>
      <c r="F140" s="14">
        <f>2*ins*12</f>
        <v>6399.9999999999936</v>
      </c>
      <c r="G140" s="14">
        <v>3060</v>
      </c>
      <c r="H140" s="14">
        <v>0</v>
      </c>
      <c r="I140" s="14">
        <f t="shared" si="1"/>
        <v>3060</v>
      </c>
    </row>
    <row r="141" spans="2:9" ht="15" x14ac:dyDescent="0.35">
      <c r="C141" t="s">
        <v>10</v>
      </c>
      <c r="E141" s="11" t="s">
        <v>53</v>
      </c>
      <c r="F141" s="4">
        <f>+F137*0.01</f>
        <v>350</v>
      </c>
      <c r="G141" s="4">
        <v>357</v>
      </c>
      <c r="H141" s="4">
        <v>0</v>
      </c>
      <c r="I141" s="4">
        <f t="shared" si="1"/>
        <v>357</v>
      </c>
    </row>
    <row r="142" spans="2:9" ht="15" x14ac:dyDescent="0.35">
      <c r="D142" s="5" t="s">
        <v>154</v>
      </c>
      <c r="E142" s="9"/>
      <c r="F142" s="6">
        <f>SUM(F138:F141)</f>
        <v>10330.499999999993</v>
      </c>
      <c r="G142" s="6">
        <v>7061.55</v>
      </c>
      <c r="H142" s="6">
        <f>SUM(H138:H141)</f>
        <v>0</v>
      </c>
      <c r="I142" s="6">
        <f>SUM(I138:I141)</f>
        <v>7061.55</v>
      </c>
    </row>
    <row r="143" spans="2:9" x14ac:dyDescent="0.2">
      <c r="C143" t="s">
        <v>11</v>
      </c>
      <c r="F143" s="14">
        <v>1200</v>
      </c>
      <c r="G143" s="14">
        <v>1224</v>
      </c>
      <c r="H143" s="14">
        <v>0</v>
      </c>
      <c r="I143" s="14">
        <f t="shared" ref="I143:I154" si="2">+G143-H143</f>
        <v>1224</v>
      </c>
    </row>
    <row r="144" spans="2:9" x14ac:dyDescent="0.2">
      <c r="C144" t="s">
        <v>21</v>
      </c>
      <c r="F144" s="14">
        <v>3000</v>
      </c>
      <c r="G144" s="14">
        <v>3060</v>
      </c>
      <c r="H144" s="14">
        <v>0</v>
      </c>
      <c r="I144" s="14">
        <f t="shared" si="2"/>
        <v>3060</v>
      </c>
    </row>
    <row r="145" spans="1:9" x14ac:dyDescent="0.2">
      <c r="C145" t="s">
        <v>37</v>
      </c>
      <c r="F145" s="14">
        <f>400*12</f>
        <v>4800</v>
      </c>
      <c r="G145" s="14">
        <v>4896</v>
      </c>
      <c r="H145" s="14">
        <v>0</v>
      </c>
      <c r="I145" s="14">
        <f t="shared" si="2"/>
        <v>4896</v>
      </c>
    </row>
    <row r="146" spans="1:9" x14ac:dyDescent="0.2">
      <c r="C146" t="s">
        <v>38</v>
      </c>
      <c r="F146" s="14">
        <f>1000*12</f>
        <v>12000</v>
      </c>
      <c r="G146" s="14">
        <v>13411.914893617022</v>
      </c>
      <c r="H146" s="14">
        <v>0</v>
      </c>
      <c r="I146" s="14">
        <f t="shared" si="2"/>
        <v>13411.914893617022</v>
      </c>
    </row>
    <row r="147" spans="1:9" x14ac:dyDescent="0.2">
      <c r="C147" t="s">
        <v>13</v>
      </c>
      <c r="F147" s="14">
        <f>150*12</f>
        <v>1800</v>
      </c>
      <c r="G147" s="14">
        <v>2187.5744680851062</v>
      </c>
      <c r="H147" s="14">
        <v>0</v>
      </c>
      <c r="I147" s="14">
        <f t="shared" si="2"/>
        <v>2187.5744680851062</v>
      </c>
    </row>
    <row r="148" spans="1:9" ht="15" x14ac:dyDescent="0.35">
      <c r="C148" t="s">
        <v>15</v>
      </c>
      <c r="F148" s="4">
        <v>1000</v>
      </c>
      <c r="G148" s="4">
        <v>1020</v>
      </c>
      <c r="H148" s="4">
        <f>+G148</f>
        <v>1020</v>
      </c>
      <c r="I148" s="4">
        <f t="shared" si="2"/>
        <v>0</v>
      </c>
    </row>
    <row r="149" spans="1:9" ht="15" x14ac:dyDescent="0.35">
      <c r="D149" s="5" t="s">
        <v>155</v>
      </c>
      <c r="E149" s="9"/>
      <c r="F149" s="6">
        <f>SUM(F145:F148)</f>
        <v>19600</v>
      </c>
      <c r="G149" s="6">
        <v>25799.48936170213</v>
      </c>
      <c r="H149" s="6">
        <f>SUM(H143:H148)</f>
        <v>1020</v>
      </c>
      <c r="I149" s="6">
        <f>SUM(I143:I148)</f>
        <v>24779.48936170213</v>
      </c>
    </row>
    <row r="150" spans="1:9" ht="15" x14ac:dyDescent="0.35">
      <c r="A150" s="5"/>
      <c r="B150" s="5" t="s">
        <v>39</v>
      </c>
      <c r="C150" s="5"/>
      <c r="D150" s="5"/>
      <c r="E150" s="9"/>
      <c r="F150" s="6">
        <f>+F137+F142+F149</f>
        <v>64930.499999999993</v>
      </c>
      <c r="G150" s="6">
        <v>68561.039361702133</v>
      </c>
      <c r="H150" s="6">
        <f>+H137+H142+H149</f>
        <v>1020</v>
      </c>
      <c r="I150" s="6">
        <f>+I137+I142+I149</f>
        <v>67541.039361702133</v>
      </c>
    </row>
    <row r="151" spans="1:9" ht="15" x14ac:dyDescent="0.35">
      <c r="A151" s="5"/>
      <c r="B151" s="5"/>
      <c r="C151" s="5"/>
      <c r="D151" s="5"/>
      <c r="E151" s="9"/>
      <c r="F151" s="6"/>
      <c r="G151" s="6"/>
      <c r="H151" s="6"/>
      <c r="I151" s="6"/>
    </row>
    <row r="152" spans="1:9" ht="15" x14ac:dyDescent="0.35">
      <c r="A152" s="5"/>
      <c r="B152" s="5" t="s">
        <v>81</v>
      </c>
      <c r="C152" s="5"/>
      <c r="D152" s="5"/>
      <c r="E152" s="9"/>
      <c r="F152" s="6"/>
      <c r="G152" s="6"/>
      <c r="H152" s="6"/>
      <c r="I152" s="6"/>
    </row>
    <row r="153" spans="1:9" x14ac:dyDescent="0.2">
      <c r="A153" s="5"/>
      <c r="B153" s="5"/>
      <c r="C153" t="s">
        <v>11</v>
      </c>
      <c r="D153" s="5"/>
      <c r="E153" s="9"/>
      <c r="F153" s="14">
        <v>6000</v>
      </c>
      <c r="G153" s="14">
        <v>1224</v>
      </c>
      <c r="H153" s="14">
        <v>0</v>
      </c>
      <c r="I153" s="14">
        <f t="shared" si="2"/>
        <v>1224</v>
      </c>
    </row>
    <row r="154" spans="1:9" ht="15" x14ac:dyDescent="0.35">
      <c r="A154" s="5"/>
      <c r="B154" s="5"/>
      <c r="C154" t="s">
        <v>13</v>
      </c>
      <c r="D154" s="5"/>
      <c r="F154" s="10">
        <v>2000</v>
      </c>
      <c r="G154" s="10">
        <v>1020</v>
      </c>
      <c r="H154" s="10">
        <v>0</v>
      </c>
      <c r="I154" s="10">
        <f t="shared" si="2"/>
        <v>1020</v>
      </c>
    </row>
    <row r="155" spans="1:9" ht="15" x14ac:dyDescent="0.35">
      <c r="A155" s="5"/>
      <c r="B155" s="5" t="s">
        <v>82</v>
      </c>
      <c r="C155" s="5"/>
      <c r="D155" s="5"/>
      <c r="E155" s="9"/>
      <c r="F155" s="6">
        <f>SUM(F153:F154)</f>
        <v>8000</v>
      </c>
      <c r="G155" s="6">
        <v>2244</v>
      </c>
      <c r="H155" s="6">
        <f>SUM(H153:H154)</f>
        <v>0</v>
      </c>
      <c r="I155" s="6">
        <f>SUM(I153:I154)</f>
        <v>2244</v>
      </c>
    </row>
    <row r="156" spans="1:9" x14ac:dyDescent="0.2">
      <c r="A156" s="5"/>
      <c r="B156" s="5"/>
      <c r="C156" s="5"/>
      <c r="D156" s="5"/>
      <c r="E156" s="9"/>
      <c r="F156" s="8"/>
      <c r="G156" s="8"/>
      <c r="H156" s="8"/>
      <c r="I156" s="8"/>
    </row>
    <row r="157" spans="1:9" ht="15" x14ac:dyDescent="0.35">
      <c r="A157" s="5" t="s">
        <v>40</v>
      </c>
      <c r="B157" s="5"/>
      <c r="C157" s="5"/>
      <c r="D157" s="5"/>
      <c r="E157" s="9"/>
      <c r="F157" s="6" t="e">
        <f>SUM(F41,F54,F69,F72,F75,F86,F107,F113,F118,F130,F133,F150,F155)</f>
        <v>#REF!</v>
      </c>
      <c r="G157" s="6">
        <v>1461116.6941727893</v>
      </c>
      <c r="H157" s="6" t="e">
        <f>SUM(H41,H54,H69,H72,H75,H86,H107,H113,H118,H130,H133,H150,H155)</f>
        <v>#REF!</v>
      </c>
      <c r="I157" s="6" t="e">
        <f>SUM(I41,I54,I69,I72,I75,I86,I107,I113,I118,I130,I133,I150,I155)</f>
        <v>#REF!</v>
      </c>
    </row>
    <row r="159" spans="1:9" s="5" customFormat="1" ht="15" x14ac:dyDescent="0.35">
      <c r="A159" s="5" t="s">
        <v>83</v>
      </c>
      <c r="E159" s="9"/>
      <c r="F159" s="6" t="e">
        <f>+F18-F157</f>
        <v>#REF!</v>
      </c>
      <c r="G159" s="6">
        <f>+G18-G157</f>
        <v>-4610.5324706614483</v>
      </c>
      <c r="H159" s="6" t="e">
        <f>+H18-H157</f>
        <v>#REF!</v>
      </c>
      <c r="I159" s="6" t="e">
        <f>+I18-I157</f>
        <v>#REF!</v>
      </c>
    </row>
    <row r="161" spans="1:9" ht="15" x14ac:dyDescent="0.35">
      <c r="A161" s="5" t="s">
        <v>104</v>
      </c>
      <c r="F161" s="7" t="e">
        <f>+F159</f>
        <v>#REF!</v>
      </c>
      <c r="G161" s="7">
        <v>33258.974773570197</v>
      </c>
      <c r="H161" s="7" t="e">
        <f>+H10+H159</f>
        <v>#REF!</v>
      </c>
      <c r="I161" s="7" t="e">
        <f>+I10+I159</f>
        <v>#REF!</v>
      </c>
    </row>
  </sheetData>
  <mergeCells count="3">
    <mergeCell ref="A1:I1"/>
    <mergeCell ref="A2:I2"/>
    <mergeCell ref="A3:I3"/>
  </mergeCells>
  <phoneticPr fontId="0" type="noConversion"/>
  <printOptions horizontalCentered="1"/>
  <pageMargins left="0.25" right="0.25" top="0.5" bottom="0.5" header="0.5" footer="0.5"/>
  <pageSetup orientation="portrait" horizontalDpi="300" verticalDpi="300"/>
  <headerFooter alignWithMargins="0"/>
  <rowBreaks count="2" manualBreakCount="2">
    <brk id="75" max="16383" man="1"/>
    <brk id="11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9"/>
  <sheetViews>
    <sheetView topLeftCell="Q152" workbookViewId="0">
      <selection activeCell="S180" sqref="S180"/>
    </sheetView>
  </sheetViews>
  <sheetFormatPr defaultColWidth="8.7109375" defaultRowHeight="12.75" x14ac:dyDescent="0.2"/>
  <cols>
    <col min="1" max="3" width="2.7109375" customWidth="1"/>
    <col min="4" max="4" width="32.7109375" customWidth="1"/>
    <col min="5" max="5" width="32.7109375" style="3" hidden="1" customWidth="1"/>
    <col min="6" max="6" width="14" style="14" hidden="1" customWidth="1"/>
    <col min="7" max="7" width="12.42578125" style="14" bestFit="1" customWidth="1"/>
    <col min="8" max="8" width="12" style="14" bestFit="1" customWidth="1"/>
    <col min="9" max="18" width="12.42578125" style="14" bestFit="1" customWidth="1"/>
    <col min="19" max="19" width="10.28515625" style="14" bestFit="1" customWidth="1"/>
  </cols>
  <sheetData>
    <row r="1" spans="1:19" x14ac:dyDescent="0.2">
      <c r="A1" s="19" t="s">
        <v>146</v>
      </c>
      <c r="B1" s="19"/>
      <c r="C1" s="19"/>
      <c r="D1" s="19"/>
      <c r="E1" s="19"/>
      <c r="F1" s="19"/>
      <c r="G1"/>
      <c r="H1"/>
      <c r="I1"/>
      <c r="J1"/>
      <c r="K1"/>
      <c r="L1"/>
      <c r="M1"/>
      <c r="N1"/>
      <c r="O1"/>
      <c r="P1"/>
      <c r="Q1"/>
      <c r="R1"/>
      <c r="S1"/>
    </row>
    <row r="2" spans="1:19" x14ac:dyDescent="0.2">
      <c r="A2" s="19" t="s">
        <v>186</v>
      </c>
      <c r="B2" s="19"/>
      <c r="C2" s="19"/>
      <c r="D2" s="19"/>
      <c r="E2" s="19"/>
      <c r="F2" s="19"/>
      <c r="G2"/>
      <c r="H2"/>
      <c r="I2"/>
      <c r="J2"/>
      <c r="K2"/>
      <c r="L2"/>
      <c r="M2"/>
      <c r="N2"/>
      <c r="O2"/>
      <c r="P2"/>
      <c r="Q2"/>
      <c r="R2"/>
      <c r="S2"/>
    </row>
    <row r="3" spans="1:19" x14ac:dyDescent="0.2">
      <c r="A3" s="19" t="s">
        <v>162</v>
      </c>
      <c r="B3" s="19"/>
      <c r="C3" s="19"/>
      <c r="D3" s="19"/>
      <c r="E3" s="19"/>
      <c r="F3" s="19"/>
      <c r="G3"/>
      <c r="H3"/>
      <c r="I3"/>
      <c r="J3"/>
      <c r="K3"/>
      <c r="L3"/>
      <c r="M3"/>
      <c r="N3"/>
      <c r="O3"/>
      <c r="P3"/>
      <c r="Q3"/>
      <c r="R3"/>
      <c r="S3"/>
    </row>
    <row r="4" spans="1:19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x14ac:dyDescent="0.2">
      <c r="A5" s="9"/>
      <c r="B5" s="9"/>
      <c r="C5" s="9"/>
      <c r="D5" s="9"/>
      <c r="E5" s="12" t="s">
        <v>125</v>
      </c>
      <c r="F5" s="12" t="s">
        <v>58</v>
      </c>
      <c r="G5" s="12" t="s">
        <v>173</v>
      </c>
      <c r="H5" s="12" t="s">
        <v>174</v>
      </c>
      <c r="I5" s="12" t="s">
        <v>175</v>
      </c>
      <c r="J5" s="12" t="s">
        <v>176</v>
      </c>
      <c r="K5" s="12" t="s">
        <v>177</v>
      </c>
      <c r="L5" s="12" t="s">
        <v>178</v>
      </c>
      <c r="M5" s="12" t="s">
        <v>179</v>
      </c>
      <c r="N5" s="12" t="s">
        <v>180</v>
      </c>
      <c r="O5" s="12" t="s">
        <v>181</v>
      </c>
      <c r="P5" s="12" t="s">
        <v>182</v>
      </c>
      <c r="Q5" s="12" t="s">
        <v>183</v>
      </c>
      <c r="R5" s="12" t="s">
        <v>184</v>
      </c>
      <c r="S5" s="12" t="s">
        <v>90</v>
      </c>
    </row>
    <row r="6" spans="1:19" x14ac:dyDescent="0.2">
      <c r="A6" s="9"/>
      <c r="B6" s="9"/>
      <c r="C6" s="9"/>
      <c r="D6" s="9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idden="1" x14ac:dyDescent="0.2">
      <c r="A7" s="5" t="s">
        <v>60</v>
      </c>
      <c r="F7" s="14" t="e">
        <f>+#REF!</f>
        <v>#REF!</v>
      </c>
    </row>
    <row r="8" spans="1:19" hidden="1" x14ac:dyDescent="0.2">
      <c r="A8" s="5"/>
    </row>
    <row r="9" spans="1:19" hidden="1" x14ac:dyDescent="0.2">
      <c r="A9" s="5"/>
    </row>
    <row r="10" spans="1:19" ht="15" x14ac:dyDescent="0.35">
      <c r="A10" s="5" t="s">
        <v>171</v>
      </c>
      <c r="F10" s="6">
        <v>0</v>
      </c>
      <c r="G10" s="6">
        <f>+F10</f>
        <v>0</v>
      </c>
      <c r="H10" s="6">
        <f>+G159</f>
        <v>5365.104012930271</v>
      </c>
      <c r="I10" s="6">
        <f t="shared" ref="I10:R10" si="0">+H159</f>
        <v>3297.8684394294105</v>
      </c>
      <c r="J10" s="6">
        <f t="shared" si="0"/>
        <v>5366.63286592855</v>
      </c>
      <c r="K10" s="6">
        <f t="shared" si="0"/>
        <v>7435.3972924276895</v>
      </c>
      <c r="L10" s="6">
        <f t="shared" si="0"/>
        <v>9504.1617189268291</v>
      </c>
      <c r="M10" s="6">
        <f t="shared" si="0"/>
        <v>11239.592812092626</v>
      </c>
      <c r="N10" s="6">
        <f t="shared" si="0"/>
        <v>13308.357238591765</v>
      </c>
      <c r="O10" s="6">
        <f t="shared" si="0"/>
        <v>15377.121665090905</v>
      </c>
      <c r="P10" s="6">
        <f t="shared" si="0"/>
        <v>17445.886091590044</v>
      </c>
      <c r="Q10" s="6">
        <f t="shared" si="0"/>
        <v>19514.650518089184</v>
      </c>
      <c r="R10" s="6">
        <f t="shared" si="0"/>
        <v>21583.414944588323</v>
      </c>
      <c r="S10" s="6">
        <f>+G10</f>
        <v>0</v>
      </c>
    </row>
    <row r="11" spans="1:19" x14ac:dyDescent="0.2"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x14ac:dyDescent="0.2">
      <c r="A12" s="5" t="s">
        <v>1</v>
      </c>
    </row>
    <row r="13" spans="1:19" x14ac:dyDescent="0.2">
      <c r="B13" t="s">
        <v>2</v>
      </c>
      <c r="E13" s="3" t="s">
        <v>51</v>
      </c>
      <c r="F13" s="14">
        <v>1085345</v>
      </c>
      <c r="G13" s="14">
        <f>+F13/12</f>
        <v>90445.416666666672</v>
      </c>
      <c r="H13" s="14">
        <f>+G13</f>
        <v>90445.416666666672</v>
      </c>
      <c r="I13" s="14">
        <f>+H13</f>
        <v>90445.416666666672</v>
      </c>
      <c r="J13" s="14">
        <f>+I13</f>
        <v>90445.416666666672</v>
      </c>
      <c r="K13" s="14">
        <f t="shared" ref="K13:R14" si="1">+J13</f>
        <v>90445.416666666672</v>
      </c>
      <c r="L13" s="14">
        <f t="shared" si="1"/>
        <v>90445.416666666672</v>
      </c>
      <c r="M13" s="14">
        <f t="shared" si="1"/>
        <v>90445.416666666672</v>
      </c>
      <c r="N13" s="14">
        <f t="shared" si="1"/>
        <v>90445.416666666672</v>
      </c>
      <c r="O13" s="14">
        <f t="shared" si="1"/>
        <v>90445.416666666672</v>
      </c>
      <c r="P13" s="14">
        <f t="shared" si="1"/>
        <v>90445.416666666672</v>
      </c>
      <c r="Q13" s="14">
        <f t="shared" si="1"/>
        <v>90445.416666666672</v>
      </c>
      <c r="R13" s="14">
        <f t="shared" si="1"/>
        <v>90445.416666666672</v>
      </c>
      <c r="S13" s="14">
        <f>SUM(G13:R13)</f>
        <v>1085344.9999999998</v>
      </c>
    </row>
    <row r="14" spans="1:19" x14ac:dyDescent="0.2">
      <c r="B14" t="s">
        <v>65</v>
      </c>
      <c r="F14" s="14">
        <v>206400</v>
      </c>
      <c r="G14" s="14">
        <f>+F14/4</f>
        <v>51600</v>
      </c>
      <c r="H14" s="14">
        <f>(F14-G14)/11</f>
        <v>14072.727272727272</v>
      </c>
      <c r="I14" s="14">
        <f>+H14</f>
        <v>14072.727272727272</v>
      </c>
      <c r="J14" s="14">
        <f>+I14</f>
        <v>14072.727272727272</v>
      </c>
      <c r="K14" s="14">
        <f t="shared" si="1"/>
        <v>14072.727272727272</v>
      </c>
      <c r="L14" s="14">
        <f t="shared" si="1"/>
        <v>14072.727272727272</v>
      </c>
      <c r="M14" s="14">
        <f t="shared" si="1"/>
        <v>14072.727272727272</v>
      </c>
      <c r="N14" s="14">
        <f t="shared" si="1"/>
        <v>14072.727272727272</v>
      </c>
      <c r="O14" s="14">
        <f t="shared" si="1"/>
        <v>14072.727272727272</v>
      </c>
      <c r="P14" s="14">
        <f t="shared" si="1"/>
        <v>14072.727272727272</v>
      </c>
      <c r="Q14" s="14">
        <f t="shared" si="1"/>
        <v>14072.727272727272</v>
      </c>
      <c r="R14" s="14">
        <f t="shared" si="1"/>
        <v>14072.727272727272</v>
      </c>
      <c r="S14" s="14">
        <f>SUM(G14:R14)</f>
        <v>206399.99999999991</v>
      </c>
    </row>
    <row r="15" spans="1:19" hidden="1" x14ac:dyDescent="0.2">
      <c r="B15" t="s">
        <v>88</v>
      </c>
      <c r="F15" s="14">
        <v>0</v>
      </c>
      <c r="S15" s="14">
        <f>SUM(G15:R15)</f>
        <v>0</v>
      </c>
    </row>
    <row r="16" spans="1:19" x14ac:dyDescent="0.2">
      <c r="B16" t="s">
        <v>142</v>
      </c>
      <c r="F16" s="14">
        <v>8460</v>
      </c>
      <c r="G16" s="14">
        <v>0</v>
      </c>
      <c r="H16" s="14">
        <v>0</v>
      </c>
      <c r="I16" s="14">
        <f>+F16/10</f>
        <v>846</v>
      </c>
      <c r="J16" s="14">
        <f>+I16</f>
        <v>846</v>
      </c>
      <c r="K16" s="14">
        <f t="shared" ref="K16:R16" si="2">+J16</f>
        <v>846</v>
      </c>
      <c r="L16" s="14">
        <f t="shared" si="2"/>
        <v>846</v>
      </c>
      <c r="M16" s="14">
        <f t="shared" si="2"/>
        <v>846</v>
      </c>
      <c r="N16" s="14">
        <f t="shared" si="2"/>
        <v>846</v>
      </c>
      <c r="O16" s="14">
        <f t="shared" si="2"/>
        <v>846</v>
      </c>
      <c r="P16" s="14">
        <f t="shared" si="2"/>
        <v>846</v>
      </c>
      <c r="Q16" s="14">
        <f t="shared" si="2"/>
        <v>846</v>
      </c>
      <c r="R16" s="14">
        <f t="shared" si="2"/>
        <v>846</v>
      </c>
      <c r="S16" s="14">
        <f>SUM(G16:R16)</f>
        <v>8460</v>
      </c>
    </row>
    <row r="17" spans="1:19" ht="15" x14ac:dyDescent="0.35">
      <c r="B17" t="s">
        <v>3</v>
      </c>
      <c r="E17" s="3" t="s">
        <v>63</v>
      </c>
      <c r="F17" s="4">
        <v>32900</v>
      </c>
      <c r="G17" s="4">
        <v>0</v>
      </c>
      <c r="H17" s="4">
        <v>0</v>
      </c>
      <c r="I17" s="4">
        <f>+F17/10</f>
        <v>3290</v>
      </c>
      <c r="J17" s="4">
        <f>+I17</f>
        <v>3290</v>
      </c>
      <c r="K17" s="4">
        <f t="shared" ref="K17:R17" si="3">+J17</f>
        <v>3290</v>
      </c>
      <c r="L17" s="4">
        <f t="shared" si="3"/>
        <v>3290</v>
      </c>
      <c r="M17" s="4">
        <f t="shared" si="3"/>
        <v>3290</v>
      </c>
      <c r="N17" s="4">
        <f t="shared" si="3"/>
        <v>3290</v>
      </c>
      <c r="O17" s="4">
        <f t="shared" si="3"/>
        <v>3290</v>
      </c>
      <c r="P17" s="4">
        <f t="shared" si="3"/>
        <v>3290</v>
      </c>
      <c r="Q17" s="4">
        <f t="shared" si="3"/>
        <v>3290</v>
      </c>
      <c r="R17" s="4">
        <f t="shared" si="3"/>
        <v>3290</v>
      </c>
      <c r="S17" s="4">
        <f>SUM(G17:R17)</f>
        <v>32900</v>
      </c>
    </row>
    <row r="18" spans="1:19" s="5" customFormat="1" ht="15" x14ac:dyDescent="0.35">
      <c r="A18" s="5" t="s">
        <v>49</v>
      </c>
      <c r="E18" s="9"/>
      <c r="F18" s="6">
        <v>1333105</v>
      </c>
      <c r="G18" s="6">
        <f t="shared" ref="G18:S18" si="4">SUM(G13:G17)</f>
        <v>142045.41666666669</v>
      </c>
      <c r="H18" s="6">
        <f t="shared" si="4"/>
        <v>104518.14393939395</v>
      </c>
      <c r="I18" s="6">
        <f t="shared" si="4"/>
        <v>108654.14393939395</v>
      </c>
      <c r="J18" s="6">
        <f t="shared" si="4"/>
        <v>108654.14393939395</v>
      </c>
      <c r="K18" s="6">
        <f t="shared" si="4"/>
        <v>108654.14393939395</v>
      </c>
      <c r="L18" s="6">
        <f t="shared" si="4"/>
        <v>108654.14393939395</v>
      </c>
      <c r="M18" s="6">
        <f t="shared" si="4"/>
        <v>108654.14393939395</v>
      </c>
      <c r="N18" s="6">
        <f t="shared" si="4"/>
        <v>108654.14393939395</v>
      </c>
      <c r="O18" s="6">
        <f t="shared" si="4"/>
        <v>108654.14393939395</v>
      </c>
      <c r="P18" s="6">
        <f t="shared" si="4"/>
        <v>108654.14393939395</v>
      </c>
      <c r="Q18" s="6">
        <f t="shared" si="4"/>
        <v>108654.14393939395</v>
      </c>
      <c r="R18" s="6">
        <f t="shared" si="4"/>
        <v>108654.14393939395</v>
      </c>
      <c r="S18" s="6">
        <f t="shared" si="4"/>
        <v>1333104.9999999998</v>
      </c>
    </row>
    <row r="20" spans="1:19" x14ac:dyDescent="0.2">
      <c r="A20" s="5" t="s">
        <v>4</v>
      </c>
    </row>
    <row r="21" spans="1:19" x14ac:dyDescent="0.2">
      <c r="B21" s="5" t="s">
        <v>5</v>
      </c>
    </row>
    <row r="22" spans="1:19" x14ac:dyDescent="0.2">
      <c r="B22" s="5"/>
      <c r="C22" t="s">
        <v>6</v>
      </c>
      <c r="E22" s="3" t="e">
        <f>CONCATENATE(#REF!+Misc!B5," @ ",Tchr)</f>
        <v>#REF!</v>
      </c>
      <c r="F22" s="14">
        <v>405000</v>
      </c>
      <c r="G22" s="14">
        <f>+F22/12</f>
        <v>33750</v>
      </c>
      <c r="H22" s="14">
        <f t="shared" ref="H22:R22" si="5">+G22</f>
        <v>33750</v>
      </c>
      <c r="I22" s="14">
        <f t="shared" si="5"/>
        <v>33750</v>
      </c>
      <c r="J22" s="14">
        <f t="shared" si="5"/>
        <v>33750</v>
      </c>
      <c r="K22" s="14">
        <f t="shared" si="5"/>
        <v>33750</v>
      </c>
      <c r="L22" s="14">
        <f t="shared" si="5"/>
        <v>33750</v>
      </c>
      <c r="M22" s="14">
        <f t="shared" si="5"/>
        <v>33750</v>
      </c>
      <c r="N22" s="14">
        <f t="shared" si="5"/>
        <v>33750</v>
      </c>
      <c r="O22" s="14">
        <f t="shared" si="5"/>
        <v>33750</v>
      </c>
      <c r="P22" s="14">
        <f t="shared" si="5"/>
        <v>33750</v>
      </c>
      <c r="Q22" s="14">
        <f t="shared" si="5"/>
        <v>33750</v>
      </c>
      <c r="R22" s="14">
        <f t="shared" si="5"/>
        <v>33750</v>
      </c>
      <c r="S22" s="14">
        <f t="shared" ref="S22:S29" si="6">SUM(G22:R22)</f>
        <v>405000</v>
      </c>
    </row>
    <row r="23" spans="1:19" x14ac:dyDescent="0.2">
      <c r="B23" s="5"/>
      <c r="C23" t="s">
        <v>156</v>
      </c>
      <c r="F23" s="14">
        <v>47040</v>
      </c>
      <c r="G23" s="14">
        <v>0</v>
      </c>
      <c r="H23" s="14">
        <f>+F23/10</f>
        <v>4704</v>
      </c>
      <c r="I23" s="14">
        <f>+H23</f>
        <v>4704</v>
      </c>
      <c r="J23" s="14">
        <f t="shared" ref="J23:Q23" si="7">+I23</f>
        <v>4704</v>
      </c>
      <c r="K23" s="14">
        <f t="shared" si="7"/>
        <v>4704</v>
      </c>
      <c r="L23" s="14">
        <f t="shared" si="7"/>
        <v>4704</v>
      </c>
      <c r="M23" s="14">
        <f t="shared" si="7"/>
        <v>4704</v>
      </c>
      <c r="N23" s="14">
        <f t="shared" si="7"/>
        <v>4704</v>
      </c>
      <c r="O23" s="14">
        <f t="shared" si="7"/>
        <v>4704</v>
      </c>
      <c r="P23" s="14">
        <f t="shared" si="7"/>
        <v>4704</v>
      </c>
      <c r="Q23" s="14">
        <f t="shared" si="7"/>
        <v>4704</v>
      </c>
      <c r="R23" s="14">
        <v>0</v>
      </c>
      <c r="S23" s="14">
        <f t="shared" si="6"/>
        <v>47040</v>
      </c>
    </row>
    <row r="24" spans="1:19" ht="15" x14ac:dyDescent="0.35">
      <c r="C24" t="s">
        <v>96</v>
      </c>
      <c r="E24" s="3" t="str">
        <f>CONCATENATE(para1," @ ",Misc!B8)</f>
        <v>0 @ 17280</v>
      </c>
      <c r="F24" s="4">
        <v>51840</v>
      </c>
      <c r="G24" s="4">
        <v>0</v>
      </c>
      <c r="H24" s="4">
        <f>+F24/10</f>
        <v>5184</v>
      </c>
      <c r="I24" s="4">
        <f>+H24</f>
        <v>5184</v>
      </c>
      <c r="J24" s="4">
        <f t="shared" ref="J24:Q24" si="8">+I24</f>
        <v>5184</v>
      </c>
      <c r="K24" s="4">
        <f t="shared" si="8"/>
        <v>5184</v>
      </c>
      <c r="L24" s="4">
        <f t="shared" si="8"/>
        <v>5184</v>
      </c>
      <c r="M24" s="4">
        <f t="shared" si="8"/>
        <v>5184</v>
      </c>
      <c r="N24" s="4">
        <f t="shared" si="8"/>
        <v>5184</v>
      </c>
      <c r="O24" s="4">
        <f t="shared" si="8"/>
        <v>5184</v>
      </c>
      <c r="P24" s="4">
        <f t="shared" si="8"/>
        <v>5184</v>
      </c>
      <c r="Q24" s="4">
        <f t="shared" si="8"/>
        <v>5184</v>
      </c>
      <c r="R24" s="4">
        <v>0</v>
      </c>
      <c r="S24" s="4">
        <f t="shared" si="6"/>
        <v>51840</v>
      </c>
    </row>
    <row r="25" spans="1:19" ht="15" x14ac:dyDescent="0.35">
      <c r="D25" s="5" t="s">
        <v>41</v>
      </c>
      <c r="E25" s="9"/>
      <c r="F25" s="6">
        <v>503880</v>
      </c>
      <c r="G25" s="6">
        <f t="shared" ref="G25:S25" si="9">SUM(G22:G24)</f>
        <v>33750</v>
      </c>
      <c r="H25" s="6">
        <f t="shared" si="9"/>
        <v>43638</v>
      </c>
      <c r="I25" s="6">
        <f t="shared" si="9"/>
        <v>43638</v>
      </c>
      <c r="J25" s="6">
        <f t="shared" si="9"/>
        <v>43638</v>
      </c>
      <c r="K25" s="6">
        <f t="shared" si="9"/>
        <v>43638</v>
      </c>
      <c r="L25" s="6">
        <f t="shared" si="9"/>
        <v>43638</v>
      </c>
      <c r="M25" s="6">
        <f t="shared" si="9"/>
        <v>43638</v>
      </c>
      <c r="N25" s="6">
        <f t="shared" si="9"/>
        <v>43638</v>
      </c>
      <c r="O25" s="6">
        <f t="shared" si="9"/>
        <v>43638</v>
      </c>
      <c r="P25" s="6">
        <f t="shared" si="9"/>
        <v>43638</v>
      </c>
      <c r="Q25" s="6">
        <f t="shared" si="9"/>
        <v>43638</v>
      </c>
      <c r="R25" s="6">
        <f t="shared" si="9"/>
        <v>33750</v>
      </c>
      <c r="S25" s="6">
        <f t="shared" si="9"/>
        <v>503880</v>
      </c>
    </row>
    <row r="26" spans="1:19" x14ac:dyDescent="0.2">
      <c r="C26" t="s">
        <v>7</v>
      </c>
      <c r="E26" s="13">
        <v>1.4999999999999999E-2</v>
      </c>
      <c r="F26" s="14">
        <v>7558.2</v>
      </c>
      <c r="G26" s="14">
        <f>+$F26/$F$25*G$25</f>
        <v>506.25</v>
      </c>
      <c r="H26" s="14">
        <f t="shared" ref="H26:R26" si="10">+$F26/$F$25*H$25</f>
        <v>654.56999999999994</v>
      </c>
      <c r="I26" s="14">
        <f t="shared" si="10"/>
        <v>654.56999999999994</v>
      </c>
      <c r="J26" s="14">
        <f t="shared" si="10"/>
        <v>654.56999999999994</v>
      </c>
      <c r="K26" s="14">
        <f t="shared" si="10"/>
        <v>654.56999999999994</v>
      </c>
      <c r="L26" s="14">
        <f t="shared" si="10"/>
        <v>654.56999999999994</v>
      </c>
      <c r="M26" s="14">
        <f t="shared" si="10"/>
        <v>654.56999999999994</v>
      </c>
      <c r="N26" s="14">
        <f t="shared" si="10"/>
        <v>654.56999999999994</v>
      </c>
      <c r="O26" s="14">
        <f t="shared" si="10"/>
        <v>654.56999999999994</v>
      </c>
      <c r="P26" s="14">
        <f t="shared" si="10"/>
        <v>654.56999999999994</v>
      </c>
      <c r="Q26" s="14">
        <f>+$F26/$F$25*Q$25</f>
        <v>654.56999999999994</v>
      </c>
      <c r="R26" s="14">
        <f t="shared" si="10"/>
        <v>506.25</v>
      </c>
      <c r="S26" s="14">
        <f t="shared" si="6"/>
        <v>7558.199999999998</v>
      </c>
    </row>
    <row r="27" spans="1:19" x14ac:dyDescent="0.2">
      <c r="C27" t="s">
        <v>8</v>
      </c>
      <c r="E27" s="3" t="s">
        <v>52</v>
      </c>
      <c r="F27" s="14">
        <v>41570.82</v>
      </c>
      <c r="G27" s="14">
        <f t="shared" ref="G27:R29" si="11">+$F27/$F$25*G$25</f>
        <v>2784.4232257680401</v>
      </c>
      <c r="H27" s="14">
        <f t="shared" si="11"/>
        <v>3600.197354846392</v>
      </c>
      <c r="I27" s="14">
        <f t="shared" si="11"/>
        <v>3600.197354846392</v>
      </c>
      <c r="J27" s="14">
        <f t="shared" si="11"/>
        <v>3600.197354846392</v>
      </c>
      <c r="K27" s="14">
        <f t="shared" si="11"/>
        <v>3600.197354846392</v>
      </c>
      <c r="L27" s="14">
        <f t="shared" si="11"/>
        <v>3600.197354846392</v>
      </c>
      <c r="M27" s="14">
        <f t="shared" si="11"/>
        <v>3600.197354846392</v>
      </c>
      <c r="N27" s="14">
        <f t="shared" si="11"/>
        <v>3600.197354846392</v>
      </c>
      <c r="O27" s="14">
        <f t="shared" si="11"/>
        <v>3600.197354846392</v>
      </c>
      <c r="P27" s="14">
        <f t="shared" si="11"/>
        <v>3600.197354846392</v>
      </c>
      <c r="Q27" s="14">
        <f t="shared" si="11"/>
        <v>3600.197354846392</v>
      </c>
      <c r="R27" s="14">
        <f t="shared" si="11"/>
        <v>2784.4232257680401</v>
      </c>
      <c r="S27" s="14">
        <f t="shared" si="6"/>
        <v>41570.820000000014</v>
      </c>
    </row>
    <row r="28" spans="1:19" x14ac:dyDescent="0.2">
      <c r="C28" t="s">
        <v>9</v>
      </c>
      <c r="E28" s="3" t="str">
        <f>CONCATENATE("$",ins," per month per employee")</f>
        <v>$266.666666666666 per month per employee</v>
      </c>
      <c r="F28" s="14">
        <v>39000</v>
      </c>
      <c r="G28" s="14">
        <f t="shared" si="11"/>
        <v>2612.2291021671826</v>
      </c>
      <c r="H28" s="14">
        <f t="shared" si="11"/>
        <v>3377.5541795665636</v>
      </c>
      <c r="I28" s="14">
        <f t="shared" si="11"/>
        <v>3377.5541795665636</v>
      </c>
      <c r="J28" s="14">
        <f t="shared" si="11"/>
        <v>3377.5541795665636</v>
      </c>
      <c r="K28" s="14">
        <f t="shared" si="11"/>
        <v>3377.5541795665636</v>
      </c>
      <c r="L28" s="14">
        <f t="shared" si="11"/>
        <v>3377.5541795665636</v>
      </c>
      <c r="M28" s="14">
        <f t="shared" si="11"/>
        <v>3377.5541795665636</v>
      </c>
      <c r="N28" s="14">
        <f t="shared" si="11"/>
        <v>3377.5541795665636</v>
      </c>
      <c r="O28" s="14">
        <f t="shared" si="11"/>
        <v>3377.5541795665636</v>
      </c>
      <c r="P28" s="14">
        <f t="shared" si="11"/>
        <v>3377.5541795665636</v>
      </c>
      <c r="Q28" s="14">
        <f t="shared" si="11"/>
        <v>3377.5541795665636</v>
      </c>
      <c r="R28" s="14">
        <f t="shared" si="11"/>
        <v>2612.2291021671826</v>
      </c>
      <c r="S28" s="14">
        <f t="shared" si="6"/>
        <v>39000</v>
      </c>
    </row>
    <row r="29" spans="1:19" ht="15" x14ac:dyDescent="0.35">
      <c r="C29" t="s">
        <v>10</v>
      </c>
      <c r="E29" s="11" t="s">
        <v>53</v>
      </c>
      <c r="F29" s="4">
        <v>5038.8</v>
      </c>
      <c r="G29" s="4">
        <f t="shared" si="11"/>
        <v>337.5</v>
      </c>
      <c r="H29" s="4">
        <f t="shared" si="11"/>
        <v>436.38</v>
      </c>
      <c r="I29" s="4">
        <f t="shared" si="11"/>
        <v>436.38</v>
      </c>
      <c r="J29" s="4">
        <f t="shared" si="11"/>
        <v>436.38</v>
      </c>
      <c r="K29" s="4">
        <f t="shared" si="11"/>
        <v>436.38</v>
      </c>
      <c r="L29" s="4">
        <f t="shared" si="11"/>
        <v>436.38</v>
      </c>
      <c r="M29" s="4">
        <f t="shared" si="11"/>
        <v>436.38</v>
      </c>
      <c r="N29" s="4">
        <f t="shared" si="11"/>
        <v>436.38</v>
      </c>
      <c r="O29" s="4">
        <f t="shared" si="11"/>
        <v>436.38</v>
      </c>
      <c r="P29" s="4">
        <f t="shared" si="11"/>
        <v>436.38</v>
      </c>
      <c r="Q29" s="4">
        <f t="shared" si="11"/>
        <v>436.38</v>
      </c>
      <c r="R29" s="4">
        <f t="shared" si="11"/>
        <v>337.5</v>
      </c>
      <c r="S29" s="4">
        <f t="shared" si="6"/>
        <v>5038.8</v>
      </c>
    </row>
    <row r="30" spans="1:19" ht="15" x14ac:dyDescent="0.35">
      <c r="D30" s="5" t="s">
        <v>42</v>
      </c>
      <c r="E30" s="9"/>
      <c r="F30" s="6">
        <v>93167.82</v>
      </c>
      <c r="G30" s="6">
        <f>SUM(G26:G29)</f>
        <v>6240.4023279352223</v>
      </c>
      <c r="H30" s="6">
        <f t="shared" ref="H30:P30" si="12">SUM(H26:H29)</f>
        <v>8068.701534412955</v>
      </c>
      <c r="I30" s="6">
        <f t="shared" si="12"/>
        <v>8068.701534412955</v>
      </c>
      <c r="J30" s="6">
        <f t="shared" si="12"/>
        <v>8068.701534412955</v>
      </c>
      <c r="K30" s="6">
        <f t="shared" si="12"/>
        <v>8068.701534412955</v>
      </c>
      <c r="L30" s="6">
        <f t="shared" si="12"/>
        <v>8068.701534412955</v>
      </c>
      <c r="M30" s="6">
        <f t="shared" si="12"/>
        <v>8068.701534412955</v>
      </c>
      <c r="N30" s="6">
        <f t="shared" si="12"/>
        <v>8068.701534412955</v>
      </c>
      <c r="O30" s="6">
        <f t="shared" si="12"/>
        <v>8068.701534412955</v>
      </c>
      <c r="P30" s="6">
        <f t="shared" si="12"/>
        <v>8068.701534412955</v>
      </c>
      <c r="Q30" s="6">
        <f>SUM(Q26:Q29)</f>
        <v>8068.701534412955</v>
      </c>
      <c r="R30" s="6">
        <f>SUM(R26:R29)</f>
        <v>6240.4023279352223</v>
      </c>
      <c r="S30" s="6">
        <f>SUM(S26:S29)</f>
        <v>93167.820000000022</v>
      </c>
    </row>
    <row r="31" spans="1:19" x14ac:dyDescent="0.2">
      <c r="C31" t="s">
        <v>11</v>
      </c>
      <c r="E31" s="3" t="s">
        <v>140</v>
      </c>
      <c r="F31" s="14">
        <v>9400</v>
      </c>
      <c r="G31" s="14">
        <v>0</v>
      </c>
      <c r="H31" s="14">
        <f>+F31/10</f>
        <v>940</v>
      </c>
      <c r="I31" s="14">
        <f>+H31</f>
        <v>940</v>
      </c>
      <c r="J31" s="14">
        <f t="shared" ref="J31:Q31" si="13">+I31</f>
        <v>940</v>
      </c>
      <c r="K31" s="14">
        <f t="shared" si="13"/>
        <v>940</v>
      </c>
      <c r="L31" s="14">
        <f t="shared" si="13"/>
        <v>940</v>
      </c>
      <c r="M31" s="14">
        <f t="shared" si="13"/>
        <v>940</v>
      </c>
      <c r="N31" s="14">
        <f t="shared" si="13"/>
        <v>940</v>
      </c>
      <c r="O31" s="14">
        <f t="shared" si="13"/>
        <v>940</v>
      </c>
      <c r="P31" s="14">
        <f t="shared" si="13"/>
        <v>940</v>
      </c>
      <c r="Q31" s="14">
        <f t="shared" si="13"/>
        <v>940</v>
      </c>
      <c r="R31" s="14">
        <v>0</v>
      </c>
      <c r="S31" s="14">
        <f t="shared" ref="S31:S39" si="14">SUM(G31:R31)</f>
        <v>9400</v>
      </c>
    </row>
    <row r="32" spans="1:19" x14ac:dyDescent="0.2">
      <c r="C32" t="s">
        <v>12</v>
      </c>
      <c r="E32" s="3" t="s">
        <v>54</v>
      </c>
      <c r="F32" s="14">
        <v>1000</v>
      </c>
      <c r="G32" s="14">
        <f>+F32/3</f>
        <v>333.33333333333331</v>
      </c>
      <c r="H32" s="14">
        <v>0</v>
      </c>
      <c r="I32" s="14">
        <v>0</v>
      </c>
      <c r="J32" s="14">
        <v>0</v>
      </c>
      <c r="K32" s="14">
        <v>0</v>
      </c>
      <c r="L32" s="14">
        <f>+G32</f>
        <v>333.33333333333331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f>+G32</f>
        <v>333.33333333333331</v>
      </c>
      <c r="S32" s="14">
        <f t="shared" si="14"/>
        <v>1000</v>
      </c>
    </row>
    <row r="33" spans="2:19" x14ac:dyDescent="0.2">
      <c r="C33" t="s">
        <v>13</v>
      </c>
      <c r="E33" s="3" t="s">
        <v>106</v>
      </c>
      <c r="F33" s="14">
        <v>14100</v>
      </c>
      <c r="G33" s="14">
        <f>+F33/4</f>
        <v>3525</v>
      </c>
      <c r="H33" s="14">
        <f>+(F33-G33)/11</f>
        <v>961.36363636363637</v>
      </c>
      <c r="I33" s="14">
        <f>+H33</f>
        <v>961.36363636363637</v>
      </c>
      <c r="J33" s="14">
        <f t="shared" ref="J33:R33" si="15">+I33</f>
        <v>961.36363636363637</v>
      </c>
      <c r="K33" s="14">
        <f t="shared" si="15"/>
        <v>961.36363636363637</v>
      </c>
      <c r="L33" s="14">
        <f t="shared" si="15"/>
        <v>961.36363636363637</v>
      </c>
      <c r="M33" s="14">
        <f t="shared" si="15"/>
        <v>961.36363636363637</v>
      </c>
      <c r="N33" s="14">
        <f t="shared" si="15"/>
        <v>961.36363636363637</v>
      </c>
      <c r="O33" s="14">
        <f t="shared" si="15"/>
        <v>961.36363636363637</v>
      </c>
      <c r="P33" s="14">
        <f t="shared" si="15"/>
        <v>961.36363636363637</v>
      </c>
      <c r="Q33" s="14">
        <f t="shared" si="15"/>
        <v>961.36363636363637</v>
      </c>
      <c r="R33" s="14">
        <f t="shared" si="15"/>
        <v>961.36363636363637</v>
      </c>
      <c r="S33" s="14">
        <f t="shared" si="14"/>
        <v>14099.999999999996</v>
      </c>
    </row>
    <row r="34" spans="2:19" hidden="1" x14ac:dyDescent="0.2">
      <c r="C34" t="s">
        <v>115</v>
      </c>
      <c r="E34" s="3" t="s">
        <v>137</v>
      </c>
      <c r="F34" s="14">
        <v>0</v>
      </c>
      <c r="G34" s="14">
        <f>+F34/4</f>
        <v>0</v>
      </c>
      <c r="H34" s="14">
        <f>+(F34-G34)/11</f>
        <v>0</v>
      </c>
      <c r="I34" s="14">
        <f>+H34</f>
        <v>0</v>
      </c>
      <c r="J34" s="14">
        <f t="shared" ref="J34:R34" si="16">+I34</f>
        <v>0</v>
      </c>
      <c r="K34" s="14">
        <f t="shared" si="16"/>
        <v>0</v>
      </c>
      <c r="L34" s="14">
        <f t="shared" si="16"/>
        <v>0</v>
      </c>
      <c r="M34" s="14">
        <f t="shared" si="16"/>
        <v>0</v>
      </c>
      <c r="N34" s="14">
        <f t="shared" si="16"/>
        <v>0</v>
      </c>
      <c r="O34" s="14">
        <f t="shared" si="16"/>
        <v>0</v>
      </c>
      <c r="P34" s="14">
        <f t="shared" si="16"/>
        <v>0</v>
      </c>
      <c r="Q34" s="14">
        <f t="shared" si="16"/>
        <v>0</v>
      </c>
      <c r="R34" s="14">
        <f t="shared" si="16"/>
        <v>0</v>
      </c>
      <c r="S34" s="14">
        <f t="shared" si="14"/>
        <v>0</v>
      </c>
    </row>
    <row r="35" spans="2:19" x14ac:dyDescent="0.2">
      <c r="C35" t="s">
        <v>14</v>
      </c>
      <c r="E35" s="3" t="s">
        <v>68</v>
      </c>
      <c r="F35" s="14">
        <v>27298.040365986628</v>
      </c>
      <c r="G35" s="14">
        <f>+F35/12</f>
        <v>2274.8366971655523</v>
      </c>
      <c r="H35" s="14">
        <f t="shared" ref="H35:R35" si="17">+G35</f>
        <v>2274.8366971655523</v>
      </c>
      <c r="I35" s="14">
        <f t="shared" si="17"/>
        <v>2274.8366971655523</v>
      </c>
      <c r="J35" s="14">
        <f t="shared" si="17"/>
        <v>2274.8366971655523</v>
      </c>
      <c r="K35" s="14">
        <f t="shared" si="17"/>
        <v>2274.8366971655523</v>
      </c>
      <c r="L35" s="14">
        <f t="shared" si="17"/>
        <v>2274.8366971655523</v>
      </c>
      <c r="M35" s="14">
        <f t="shared" si="17"/>
        <v>2274.8366971655523</v>
      </c>
      <c r="N35" s="14">
        <f t="shared" si="17"/>
        <v>2274.8366971655523</v>
      </c>
      <c r="O35" s="14">
        <f t="shared" si="17"/>
        <v>2274.8366971655523</v>
      </c>
      <c r="P35" s="14">
        <f t="shared" si="17"/>
        <v>2274.8366971655523</v>
      </c>
      <c r="Q35" s="14">
        <f t="shared" si="17"/>
        <v>2274.8366971655523</v>
      </c>
      <c r="R35" s="14">
        <f t="shared" si="17"/>
        <v>2274.8366971655523</v>
      </c>
      <c r="S35" s="14">
        <f t="shared" si="14"/>
        <v>27298.040365986628</v>
      </c>
    </row>
    <row r="36" spans="2:19" x14ac:dyDescent="0.2">
      <c r="C36" t="s">
        <v>69</v>
      </c>
      <c r="E36" s="3" t="s">
        <v>105</v>
      </c>
      <c r="F36" s="14">
        <v>1500</v>
      </c>
      <c r="G36" s="14">
        <f>+F36/4</f>
        <v>375</v>
      </c>
      <c r="H36" s="14">
        <f>+(F36-G36)/11</f>
        <v>102.27272727272727</v>
      </c>
      <c r="I36" s="14">
        <f t="shared" ref="I36:R36" si="18">+H36</f>
        <v>102.27272727272727</v>
      </c>
      <c r="J36" s="14">
        <f t="shared" si="18"/>
        <v>102.27272727272727</v>
      </c>
      <c r="K36" s="14">
        <f t="shared" si="18"/>
        <v>102.27272727272727</v>
      </c>
      <c r="L36" s="14">
        <f t="shared" si="18"/>
        <v>102.27272727272727</v>
      </c>
      <c r="M36" s="14">
        <f t="shared" si="18"/>
        <v>102.27272727272727</v>
      </c>
      <c r="N36" s="14">
        <f t="shared" si="18"/>
        <v>102.27272727272727</v>
      </c>
      <c r="O36" s="14">
        <f t="shared" si="18"/>
        <v>102.27272727272727</v>
      </c>
      <c r="P36" s="14">
        <f t="shared" si="18"/>
        <v>102.27272727272727</v>
      </c>
      <c r="Q36" s="14">
        <f t="shared" si="18"/>
        <v>102.27272727272727</v>
      </c>
      <c r="R36" s="14">
        <f t="shared" si="18"/>
        <v>102.27272727272727</v>
      </c>
      <c r="S36" s="14">
        <f t="shared" si="14"/>
        <v>1499.9999999999998</v>
      </c>
    </row>
    <row r="37" spans="2:19" x14ac:dyDescent="0.2">
      <c r="C37" t="s">
        <v>15</v>
      </c>
      <c r="E37" s="3" t="s">
        <v>107</v>
      </c>
      <c r="F37" s="14">
        <v>11616.187389781544</v>
      </c>
      <c r="G37" s="14">
        <f>+F37/12</f>
        <v>968.01561581512863</v>
      </c>
      <c r="H37" s="14">
        <f t="shared" ref="H37:R37" si="19">+G37</f>
        <v>968.01561581512863</v>
      </c>
      <c r="I37" s="14">
        <f t="shared" si="19"/>
        <v>968.01561581512863</v>
      </c>
      <c r="J37" s="14">
        <f t="shared" si="19"/>
        <v>968.01561581512863</v>
      </c>
      <c r="K37" s="14">
        <f t="shared" si="19"/>
        <v>968.01561581512863</v>
      </c>
      <c r="L37" s="14">
        <f t="shared" si="19"/>
        <v>968.01561581512863</v>
      </c>
      <c r="M37" s="14">
        <f t="shared" si="19"/>
        <v>968.01561581512863</v>
      </c>
      <c r="N37" s="14">
        <f t="shared" si="19"/>
        <v>968.01561581512863</v>
      </c>
      <c r="O37" s="14">
        <f t="shared" si="19"/>
        <v>968.01561581512863</v>
      </c>
      <c r="P37" s="14">
        <f t="shared" si="19"/>
        <v>968.01561581512863</v>
      </c>
      <c r="Q37" s="14">
        <f t="shared" si="19"/>
        <v>968.01561581512863</v>
      </c>
      <c r="R37" s="14">
        <f t="shared" si="19"/>
        <v>968.01561581512863</v>
      </c>
      <c r="S37" s="14">
        <f t="shared" si="14"/>
        <v>11616.187389781546</v>
      </c>
    </row>
    <row r="38" spans="2:19" x14ac:dyDescent="0.2">
      <c r="C38" t="s">
        <v>16</v>
      </c>
      <c r="E38" s="3" t="s">
        <v>54</v>
      </c>
      <c r="F38" s="14">
        <v>2500</v>
      </c>
      <c r="G38" s="14">
        <f>+F38/4</f>
        <v>625</v>
      </c>
      <c r="H38" s="14">
        <f>+(F38-G38)/11</f>
        <v>170.45454545454547</v>
      </c>
      <c r="I38" s="14">
        <f t="shared" ref="I38:R39" si="20">+H38</f>
        <v>170.45454545454547</v>
      </c>
      <c r="J38" s="14">
        <f t="shared" si="20"/>
        <v>170.45454545454547</v>
      </c>
      <c r="K38" s="14">
        <f t="shared" si="20"/>
        <v>170.45454545454547</v>
      </c>
      <c r="L38" s="14">
        <f t="shared" si="20"/>
        <v>170.45454545454547</v>
      </c>
      <c r="M38" s="14">
        <f t="shared" si="20"/>
        <v>170.45454545454547</v>
      </c>
      <c r="N38" s="14">
        <f t="shared" si="20"/>
        <v>170.45454545454547</v>
      </c>
      <c r="O38" s="14">
        <f t="shared" si="20"/>
        <v>170.45454545454547</v>
      </c>
      <c r="P38" s="14">
        <f t="shared" si="20"/>
        <v>170.45454545454547</v>
      </c>
      <c r="Q38" s="14">
        <f t="shared" si="20"/>
        <v>170.45454545454547</v>
      </c>
      <c r="R38" s="14">
        <f t="shared" si="20"/>
        <v>170.45454545454547</v>
      </c>
      <c r="S38" s="14">
        <f t="shared" si="14"/>
        <v>2500.0000000000005</v>
      </c>
    </row>
    <row r="39" spans="2:19" ht="15" x14ac:dyDescent="0.35">
      <c r="C39" t="s">
        <v>17</v>
      </c>
      <c r="E39" s="3" t="s">
        <v>116</v>
      </c>
      <c r="F39" s="4">
        <v>3000</v>
      </c>
      <c r="G39" s="4">
        <v>0</v>
      </c>
      <c r="H39" s="4">
        <f>+F39/10</f>
        <v>300</v>
      </c>
      <c r="I39" s="4">
        <f>+H39</f>
        <v>300</v>
      </c>
      <c r="J39" s="4">
        <f t="shared" si="20"/>
        <v>300</v>
      </c>
      <c r="K39" s="4">
        <f t="shared" si="20"/>
        <v>300</v>
      </c>
      <c r="L39" s="4">
        <f t="shared" si="20"/>
        <v>300</v>
      </c>
      <c r="M39" s="4">
        <f t="shared" si="20"/>
        <v>300</v>
      </c>
      <c r="N39" s="4">
        <f t="shared" si="20"/>
        <v>300</v>
      </c>
      <c r="O39" s="4">
        <f t="shared" si="20"/>
        <v>300</v>
      </c>
      <c r="P39" s="4">
        <f t="shared" si="20"/>
        <v>300</v>
      </c>
      <c r="Q39" s="4">
        <f t="shared" si="20"/>
        <v>300</v>
      </c>
      <c r="R39" s="4">
        <v>0</v>
      </c>
      <c r="S39" s="4">
        <f t="shared" si="14"/>
        <v>3000</v>
      </c>
    </row>
    <row r="40" spans="2:19" ht="15" x14ac:dyDescent="0.35">
      <c r="D40" s="5" t="s">
        <v>43</v>
      </c>
      <c r="E40" s="9"/>
      <c r="F40" s="6">
        <v>70414.227755768166</v>
      </c>
      <c r="G40" s="6">
        <f t="shared" ref="G40:S40" si="21">SUM(G31:G39)</f>
        <v>8101.1856463140148</v>
      </c>
      <c r="H40" s="6">
        <f t="shared" si="21"/>
        <v>5716.9432220715889</v>
      </c>
      <c r="I40" s="6">
        <f t="shared" si="21"/>
        <v>5716.9432220715889</v>
      </c>
      <c r="J40" s="6">
        <f t="shared" si="21"/>
        <v>5716.9432220715889</v>
      </c>
      <c r="K40" s="6">
        <f t="shared" si="21"/>
        <v>5716.9432220715889</v>
      </c>
      <c r="L40" s="6">
        <f t="shared" si="21"/>
        <v>6050.2765554049229</v>
      </c>
      <c r="M40" s="6">
        <f t="shared" si="21"/>
        <v>5716.9432220715889</v>
      </c>
      <c r="N40" s="6">
        <f t="shared" si="21"/>
        <v>5716.9432220715889</v>
      </c>
      <c r="O40" s="6">
        <f t="shared" si="21"/>
        <v>5716.9432220715889</v>
      </c>
      <c r="P40" s="6">
        <f t="shared" si="21"/>
        <v>5716.9432220715889</v>
      </c>
      <c r="Q40" s="6">
        <f t="shared" si="21"/>
        <v>5716.9432220715889</v>
      </c>
      <c r="R40" s="6">
        <f t="shared" si="21"/>
        <v>4810.2765554049238</v>
      </c>
      <c r="S40" s="6">
        <f t="shared" si="21"/>
        <v>70414.227755768181</v>
      </c>
    </row>
    <row r="41" spans="2:19" ht="15" x14ac:dyDescent="0.35">
      <c r="B41" s="5" t="s">
        <v>18</v>
      </c>
      <c r="C41" s="5"/>
      <c r="D41" s="5"/>
      <c r="E41" s="9"/>
      <c r="F41" s="6">
        <v>667462.04775576817</v>
      </c>
      <c r="G41" s="6">
        <f t="shared" ref="G41:S41" si="22">SUM(G40,G30,G25)</f>
        <v>48091.58797424924</v>
      </c>
      <c r="H41" s="6">
        <f t="shared" si="22"/>
        <v>57423.644756484544</v>
      </c>
      <c r="I41" s="6">
        <f t="shared" si="22"/>
        <v>57423.644756484544</v>
      </c>
      <c r="J41" s="6">
        <f t="shared" si="22"/>
        <v>57423.644756484544</v>
      </c>
      <c r="K41" s="6">
        <f t="shared" si="22"/>
        <v>57423.644756484544</v>
      </c>
      <c r="L41" s="6">
        <f t="shared" si="22"/>
        <v>57756.97808981788</v>
      </c>
      <c r="M41" s="6">
        <f t="shared" si="22"/>
        <v>57423.644756484544</v>
      </c>
      <c r="N41" s="6">
        <f t="shared" si="22"/>
        <v>57423.644756484544</v>
      </c>
      <c r="O41" s="6">
        <f t="shared" si="22"/>
        <v>57423.644756484544</v>
      </c>
      <c r="P41" s="6">
        <f t="shared" si="22"/>
        <v>57423.644756484544</v>
      </c>
      <c r="Q41" s="6">
        <f t="shared" si="22"/>
        <v>57423.644756484544</v>
      </c>
      <c r="R41" s="6">
        <f t="shared" si="22"/>
        <v>44800.678883340144</v>
      </c>
      <c r="S41" s="6">
        <f t="shared" si="22"/>
        <v>667462.04775576817</v>
      </c>
    </row>
    <row r="43" spans="2:19" hidden="1" x14ac:dyDescent="0.2">
      <c r="B43" s="5" t="s">
        <v>66</v>
      </c>
    </row>
    <row r="44" spans="2:19" ht="15" hidden="1" x14ac:dyDescent="0.35">
      <c r="B44" s="5"/>
      <c r="C44" t="s">
        <v>109</v>
      </c>
      <c r="F44" s="4">
        <v>0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2:19" ht="15" hidden="1" x14ac:dyDescent="0.35">
      <c r="B45" s="5"/>
      <c r="C45" t="s">
        <v>114</v>
      </c>
      <c r="F45" s="4">
        <v>0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2:19" ht="15" hidden="1" x14ac:dyDescent="0.35">
      <c r="B46" s="5"/>
      <c r="D46" s="5" t="s">
        <v>110</v>
      </c>
      <c r="F46" s="6">
        <v>0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</row>
    <row r="47" spans="2:19" hidden="1" x14ac:dyDescent="0.2">
      <c r="B47" s="5"/>
      <c r="C47" t="s">
        <v>7</v>
      </c>
      <c r="E47" s="13">
        <v>1.4999999999999999E-2</v>
      </c>
      <c r="F47" s="14">
        <v>0</v>
      </c>
    </row>
    <row r="48" spans="2:19" hidden="1" x14ac:dyDescent="0.2">
      <c r="B48" s="5"/>
      <c r="C48" t="s">
        <v>8</v>
      </c>
      <c r="E48" s="3" t="s">
        <v>52</v>
      </c>
      <c r="F48" s="14">
        <v>0</v>
      </c>
    </row>
    <row r="49" spans="2:19" hidden="1" x14ac:dyDescent="0.2">
      <c r="B49" s="5"/>
      <c r="C49" t="s">
        <v>9</v>
      </c>
      <c r="E49" s="3" t="str">
        <f>CONCATENATE(ins," per month per employee")</f>
        <v>266.666666666666 per month per employee</v>
      </c>
      <c r="F49" s="14">
        <v>0</v>
      </c>
    </row>
    <row r="50" spans="2:19" ht="15" hidden="1" x14ac:dyDescent="0.35">
      <c r="B50" s="5"/>
      <c r="C50" t="s">
        <v>10</v>
      </c>
      <c r="E50" s="11" t="s">
        <v>53</v>
      </c>
      <c r="F50" s="4">
        <v>0</v>
      </c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2:19" ht="15" hidden="1" x14ac:dyDescent="0.35">
      <c r="B51" s="5"/>
      <c r="D51" s="5" t="s">
        <v>111</v>
      </c>
      <c r="F51" s="6">
        <v>0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</row>
    <row r="52" spans="2:19" ht="15" hidden="1" x14ac:dyDescent="0.35">
      <c r="B52" s="5"/>
      <c r="C52" t="s">
        <v>13</v>
      </c>
      <c r="E52" s="3" t="s">
        <v>72</v>
      </c>
      <c r="F52" s="4">
        <v>0</v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2:19" ht="15" hidden="1" x14ac:dyDescent="0.35">
      <c r="B53" s="5"/>
      <c r="D53" s="5" t="s">
        <v>112</v>
      </c>
      <c r="F53" s="6">
        <v>0</v>
      </c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</row>
    <row r="54" spans="2:19" ht="15" hidden="1" x14ac:dyDescent="0.35">
      <c r="B54" s="5" t="s">
        <v>84</v>
      </c>
      <c r="F54" s="6">
        <v>0</v>
      </c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2:19" ht="15" hidden="1" x14ac:dyDescent="0.35">
      <c r="B55" s="5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2:19" hidden="1" x14ac:dyDescent="0.2">
      <c r="B56" s="5" t="s">
        <v>117</v>
      </c>
    </row>
    <row r="57" spans="2:19" ht="15" hidden="1" x14ac:dyDescent="0.35">
      <c r="B57" s="5"/>
      <c r="C57" t="s">
        <v>118</v>
      </c>
      <c r="F57" s="4">
        <v>0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2:19" ht="15" hidden="1" x14ac:dyDescent="0.35">
      <c r="B58" s="5"/>
      <c r="C58" t="s">
        <v>114</v>
      </c>
      <c r="F58" s="4">
        <v>0</v>
      </c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2:19" ht="15" hidden="1" x14ac:dyDescent="0.35">
      <c r="B59" s="5"/>
      <c r="D59" s="5" t="s">
        <v>121</v>
      </c>
      <c r="F59" s="6">
        <v>0</v>
      </c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</row>
    <row r="60" spans="2:19" hidden="1" x14ac:dyDescent="0.2">
      <c r="B60" s="5"/>
      <c r="C60" t="s">
        <v>7</v>
      </c>
      <c r="E60" s="13">
        <v>1.4999999999999999E-2</v>
      </c>
      <c r="F60" s="14">
        <v>0</v>
      </c>
    </row>
    <row r="61" spans="2:19" hidden="1" x14ac:dyDescent="0.2">
      <c r="B61" s="5"/>
      <c r="C61" t="s">
        <v>8</v>
      </c>
      <c r="E61" s="3" t="s">
        <v>52</v>
      </c>
      <c r="F61" s="14">
        <v>0</v>
      </c>
    </row>
    <row r="62" spans="2:19" hidden="1" x14ac:dyDescent="0.2">
      <c r="B62" s="5"/>
      <c r="C62" t="s">
        <v>9</v>
      </c>
      <c r="E62" s="3" t="str">
        <f>CONCATENATE(ins," per month per employee")</f>
        <v>266.666666666666 per month per employee</v>
      </c>
      <c r="F62" s="14">
        <v>0</v>
      </c>
    </row>
    <row r="63" spans="2:19" ht="15" hidden="1" x14ac:dyDescent="0.35">
      <c r="B63" s="5"/>
      <c r="C63" t="s">
        <v>10</v>
      </c>
      <c r="E63" s="11" t="s">
        <v>53</v>
      </c>
      <c r="F63" s="4">
        <v>0</v>
      </c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2:19" ht="15" hidden="1" x14ac:dyDescent="0.35">
      <c r="B64" s="5"/>
      <c r="D64" s="5" t="s">
        <v>122</v>
      </c>
      <c r="F64" s="6">
        <v>0</v>
      </c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2:19" hidden="1" x14ac:dyDescent="0.2">
      <c r="B65" s="5"/>
      <c r="C65" t="s">
        <v>13</v>
      </c>
      <c r="D65" s="5"/>
      <c r="F65" s="14">
        <v>0</v>
      </c>
    </row>
    <row r="66" spans="2:19" hidden="1" x14ac:dyDescent="0.2">
      <c r="B66" s="5"/>
      <c r="C66" t="s">
        <v>120</v>
      </c>
      <c r="D66" s="5"/>
      <c r="F66" s="14">
        <v>0</v>
      </c>
    </row>
    <row r="67" spans="2:19" ht="15" hidden="1" x14ac:dyDescent="0.35">
      <c r="B67" s="5"/>
      <c r="C67" t="s">
        <v>119</v>
      </c>
      <c r="F67" s="4">
        <v>0</v>
      </c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2:19" ht="15" hidden="1" x14ac:dyDescent="0.35">
      <c r="B68" s="5"/>
      <c r="D68" s="5" t="s">
        <v>123</v>
      </c>
      <c r="F68" s="6">
        <v>0</v>
      </c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</row>
    <row r="69" spans="2:19" ht="15" hidden="1" x14ac:dyDescent="0.35">
      <c r="B69" s="5" t="s">
        <v>124</v>
      </c>
      <c r="F69" s="6">
        <v>0</v>
      </c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</row>
    <row r="70" spans="2:19" hidden="1" x14ac:dyDescent="0.2"/>
    <row r="71" spans="2:19" x14ac:dyDescent="0.2">
      <c r="B71" s="5" t="s">
        <v>91</v>
      </c>
    </row>
    <row r="72" spans="2:19" ht="15" x14ac:dyDescent="0.35">
      <c r="C72" s="5" t="s">
        <v>11</v>
      </c>
      <c r="D72" s="5"/>
      <c r="E72" s="3" t="s">
        <v>54</v>
      </c>
      <c r="F72" s="6">
        <v>4500</v>
      </c>
      <c r="G72" s="6">
        <f>+F72</f>
        <v>4500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f>SUM(G72:R72)</f>
        <v>4500</v>
      </c>
    </row>
    <row r="73" spans="2:19" x14ac:dyDescent="0.2"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</row>
    <row r="74" spans="2:19" x14ac:dyDescent="0.2">
      <c r="B74" s="5" t="s">
        <v>19</v>
      </c>
    </row>
    <row r="75" spans="2:19" ht="15" x14ac:dyDescent="0.35">
      <c r="C75" s="5" t="s">
        <v>11</v>
      </c>
      <c r="D75" s="5"/>
      <c r="E75" s="3" t="s">
        <v>54</v>
      </c>
      <c r="F75" s="6">
        <v>7500</v>
      </c>
      <c r="G75" s="6">
        <f>+F75</f>
        <v>7500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f>SUM(G75:R75)</f>
        <v>7500</v>
      </c>
    </row>
    <row r="77" spans="2:19" x14ac:dyDescent="0.2">
      <c r="B77" s="5" t="s">
        <v>24</v>
      </c>
    </row>
    <row r="78" spans="2:19" x14ac:dyDescent="0.2">
      <c r="C78" t="s">
        <v>20</v>
      </c>
      <c r="E78" s="3" t="s">
        <v>54</v>
      </c>
      <c r="F78" s="14">
        <v>2000</v>
      </c>
      <c r="G78" s="14">
        <f>+F78</f>
        <v>2000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f>SUM(G78:R78)</f>
        <v>2000</v>
      </c>
    </row>
    <row r="79" spans="2:19" x14ac:dyDescent="0.2">
      <c r="C79" t="s">
        <v>157</v>
      </c>
      <c r="E79" s="3" t="s">
        <v>54</v>
      </c>
      <c r="F79" s="14">
        <v>108534.5</v>
      </c>
      <c r="G79" s="14">
        <f>+F79/12</f>
        <v>9044.5416666666661</v>
      </c>
      <c r="H79" s="14">
        <f>+G79</f>
        <v>9044.5416666666661</v>
      </c>
      <c r="I79" s="14">
        <f>+H79</f>
        <v>9044.5416666666661</v>
      </c>
      <c r="J79" s="14">
        <f>+I79</f>
        <v>9044.5416666666661</v>
      </c>
      <c r="K79" s="14">
        <f>+J79</f>
        <v>9044.5416666666661</v>
      </c>
      <c r="L79" s="14">
        <f t="shared" ref="L79:R79" si="23">+K79</f>
        <v>9044.5416666666661</v>
      </c>
      <c r="M79" s="14">
        <f t="shared" si="23"/>
        <v>9044.5416666666661</v>
      </c>
      <c r="N79" s="14">
        <f t="shared" si="23"/>
        <v>9044.5416666666661</v>
      </c>
      <c r="O79" s="14">
        <f t="shared" si="23"/>
        <v>9044.5416666666661</v>
      </c>
      <c r="P79" s="14">
        <f t="shared" si="23"/>
        <v>9044.5416666666661</v>
      </c>
      <c r="Q79" s="14">
        <f t="shared" si="23"/>
        <v>9044.5416666666661</v>
      </c>
      <c r="R79" s="14">
        <f t="shared" si="23"/>
        <v>9044.5416666666661</v>
      </c>
      <c r="S79" s="14">
        <f t="shared" ref="S79:S85" si="24">SUM(G79:R79)</f>
        <v>108534.50000000001</v>
      </c>
    </row>
    <row r="80" spans="2:19" x14ac:dyDescent="0.2">
      <c r="C80" t="s">
        <v>76</v>
      </c>
      <c r="E80" s="3" t="s">
        <v>54</v>
      </c>
      <c r="F80" s="14">
        <v>9000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f>+F80</f>
        <v>9000</v>
      </c>
      <c r="S80" s="14">
        <f t="shared" si="24"/>
        <v>9000</v>
      </c>
    </row>
    <row r="81" spans="2:19" x14ac:dyDescent="0.2">
      <c r="C81" t="s">
        <v>93</v>
      </c>
      <c r="E81" s="3" t="s">
        <v>54</v>
      </c>
      <c r="F81" s="14">
        <v>4000</v>
      </c>
      <c r="G81" s="14">
        <f>+F81</f>
        <v>4000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f t="shared" si="24"/>
        <v>4000</v>
      </c>
    </row>
    <row r="82" spans="2:19" x14ac:dyDescent="0.2">
      <c r="C82" t="s">
        <v>12</v>
      </c>
      <c r="E82" s="3" t="s">
        <v>54</v>
      </c>
      <c r="F82" s="14">
        <v>4000</v>
      </c>
      <c r="G82" s="14">
        <f>+F82</f>
        <v>4000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f t="shared" si="24"/>
        <v>4000</v>
      </c>
    </row>
    <row r="83" spans="2:19" x14ac:dyDescent="0.2">
      <c r="C83" t="s">
        <v>21</v>
      </c>
      <c r="E83" s="3" t="s">
        <v>54</v>
      </c>
      <c r="F83" s="14">
        <v>9000</v>
      </c>
      <c r="G83" s="14">
        <f>+F83</f>
        <v>9000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f t="shared" si="24"/>
        <v>9000</v>
      </c>
    </row>
    <row r="84" spans="2:19" x14ac:dyDescent="0.2">
      <c r="C84" t="s">
        <v>22</v>
      </c>
      <c r="F84" s="14">
        <v>54267.25</v>
      </c>
      <c r="G84" s="14">
        <f>+F84/12</f>
        <v>4522.270833333333</v>
      </c>
      <c r="H84" s="14">
        <f>+G84</f>
        <v>4522.270833333333</v>
      </c>
      <c r="I84" s="14">
        <f t="shared" ref="I84:N84" si="25">+H84</f>
        <v>4522.270833333333</v>
      </c>
      <c r="J84" s="14">
        <f t="shared" si="25"/>
        <v>4522.270833333333</v>
      </c>
      <c r="K84" s="14">
        <f t="shared" si="25"/>
        <v>4522.270833333333</v>
      </c>
      <c r="L84" s="14">
        <f t="shared" si="25"/>
        <v>4522.270833333333</v>
      </c>
      <c r="M84" s="14">
        <f t="shared" si="25"/>
        <v>4522.270833333333</v>
      </c>
      <c r="N84" s="14">
        <f t="shared" si="25"/>
        <v>4522.270833333333</v>
      </c>
      <c r="O84" s="14">
        <f>+N84</f>
        <v>4522.270833333333</v>
      </c>
      <c r="P84" s="14">
        <f>+O84</f>
        <v>4522.270833333333</v>
      </c>
      <c r="Q84" s="14">
        <f>+P84</f>
        <v>4522.270833333333</v>
      </c>
      <c r="R84" s="14">
        <f>+Q84</f>
        <v>4522.270833333333</v>
      </c>
      <c r="S84" s="14">
        <f t="shared" si="24"/>
        <v>54267.250000000007</v>
      </c>
    </row>
    <row r="85" spans="2:19" ht="15" x14ac:dyDescent="0.35">
      <c r="C85" t="s">
        <v>92</v>
      </c>
      <c r="E85" s="16">
        <v>0.03</v>
      </c>
      <c r="F85" s="4">
        <v>6192</v>
      </c>
      <c r="G85" s="4">
        <f>+$F85/$F14*G14</f>
        <v>1548</v>
      </c>
      <c r="H85" s="4">
        <f t="shared" ref="H85:R85" si="26">+$F85/$F14*H14</f>
        <v>422.18181818181813</v>
      </c>
      <c r="I85" s="4">
        <f t="shared" si="26"/>
        <v>422.18181818181813</v>
      </c>
      <c r="J85" s="4">
        <f t="shared" si="26"/>
        <v>422.18181818181813</v>
      </c>
      <c r="K85" s="4">
        <f t="shared" si="26"/>
        <v>422.18181818181813</v>
      </c>
      <c r="L85" s="4">
        <f t="shared" si="26"/>
        <v>422.18181818181813</v>
      </c>
      <c r="M85" s="4">
        <f t="shared" si="26"/>
        <v>422.18181818181813</v>
      </c>
      <c r="N85" s="4">
        <f t="shared" si="26"/>
        <v>422.18181818181813</v>
      </c>
      <c r="O85" s="4">
        <f t="shared" si="26"/>
        <v>422.18181818181813</v>
      </c>
      <c r="P85" s="4">
        <f t="shared" si="26"/>
        <v>422.18181818181813</v>
      </c>
      <c r="Q85" s="4">
        <f t="shared" si="26"/>
        <v>422.18181818181813</v>
      </c>
      <c r="R85" s="4">
        <f t="shared" si="26"/>
        <v>422.18181818181813</v>
      </c>
      <c r="S85" s="4">
        <f t="shared" si="24"/>
        <v>6191.9999999999982</v>
      </c>
    </row>
    <row r="86" spans="2:19" ht="15" x14ac:dyDescent="0.35">
      <c r="B86" s="5" t="s">
        <v>23</v>
      </c>
      <c r="C86" s="5"/>
      <c r="D86" s="5"/>
      <c r="E86" s="9"/>
      <c r="F86" s="6">
        <v>196993.75</v>
      </c>
      <c r="G86" s="6">
        <f t="shared" ref="G86:S86" si="27">SUM(G78:G85)</f>
        <v>34114.8125</v>
      </c>
      <c r="H86" s="6">
        <f t="shared" si="27"/>
        <v>13988.994318181818</v>
      </c>
      <c r="I86" s="6">
        <f t="shared" si="27"/>
        <v>13988.994318181818</v>
      </c>
      <c r="J86" s="6">
        <f t="shared" si="27"/>
        <v>13988.994318181818</v>
      </c>
      <c r="K86" s="6">
        <f t="shared" si="27"/>
        <v>13988.994318181818</v>
      </c>
      <c r="L86" s="6">
        <f t="shared" si="27"/>
        <v>13988.994318181818</v>
      </c>
      <c r="M86" s="6">
        <f t="shared" si="27"/>
        <v>13988.994318181818</v>
      </c>
      <c r="N86" s="6">
        <f t="shared" si="27"/>
        <v>13988.994318181818</v>
      </c>
      <c r="O86" s="6">
        <f t="shared" si="27"/>
        <v>13988.994318181818</v>
      </c>
      <c r="P86" s="6">
        <f t="shared" si="27"/>
        <v>13988.994318181818</v>
      </c>
      <c r="Q86" s="6">
        <f t="shared" si="27"/>
        <v>13988.994318181818</v>
      </c>
      <c r="R86" s="6">
        <f t="shared" si="27"/>
        <v>22988.994318181816</v>
      </c>
      <c r="S86" s="6">
        <f t="shared" si="27"/>
        <v>196993.75</v>
      </c>
    </row>
    <row r="87" spans="2:19" x14ac:dyDescent="0.2"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2:19" x14ac:dyDescent="0.2">
      <c r="B88" s="5" t="s">
        <v>26</v>
      </c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2:19" x14ac:dyDescent="0.2">
      <c r="C89" t="s">
        <v>131</v>
      </c>
      <c r="E89" s="3" t="s">
        <v>135</v>
      </c>
      <c r="F89" s="14">
        <v>81250</v>
      </c>
      <c r="G89" s="14">
        <f>+F89/13*2</f>
        <v>12500</v>
      </c>
      <c r="H89" s="14">
        <f>+F89/13</f>
        <v>6250</v>
      </c>
      <c r="I89" s="14">
        <f t="shared" ref="I89:R89" si="28">+H89</f>
        <v>6250</v>
      </c>
      <c r="J89" s="14">
        <f t="shared" si="28"/>
        <v>6250</v>
      </c>
      <c r="K89" s="14">
        <f t="shared" si="28"/>
        <v>6250</v>
      </c>
      <c r="L89" s="14">
        <f t="shared" si="28"/>
        <v>6250</v>
      </c>
      <c r="M89" s="14">
        <f t="shared" si="28"/>
        <v>6250</v>
      </c>
      <c r="N89" s="14">
        <f t="shared" si="28"/>
        <v>6250</v>
      </c>
      <c r="O89" s="14">
        <f t="shared" si="28"/>
        <v>6250</v>
      </c>
      <c r="P89" s="14">
        <f t="shared" si="28"/>
        <v>6250</v>
      </c>
      <c r="Q89" s="14">
        <f t="shared" si="28"/>
        <v>6250</v>
      </c>
      <c r="R89" s="14">
        <f t="shared" si="28"/>
        <v>6250</v>
      </c>
      <c r="S89" s="14">
        <f>SUM(G89:R89)</f>
        <v>81250</v>
      </c>
    </row>
    <row r="90" spans="2:19" hidden="1" x14ac:dyDescent="0.2">
      <c r="C90" t="s">
        <v>132</v>
      </c>
      <c r="E90" s="3" t="s">
        <v>145</v>
      </c>
      <c r="F90" s="14">
        <v>0</v>
      </c>
      <c r="S90" s="14">
        <f>SUM(G90:R90)</f>
        <v>0</v>
      </c>
    </row>
    <row r="91" spans="2:19" ht="15" hidden="1" x14ac:dyDescent="0.35">
      <c r="C91" t="s">
        <v>133</v>
      </c>
      <c r="E91" s="3" t="s">
        <v>136</v>
      </c>
      <c r="F91" s="14">
        <v>0</v>
      </c>
      <c r="S91" s="4">
        <f>SUM(G91:R91)</f>
        <v>0</v>
      </c>
    </row>
    <row r="92" spans="2:19" ht="15" x14ac:dyDescent="0.35">
      <c r="C92" t="s">
        <v>134</v>
      </c>
      <c r="E92" s="3" t="s">
        <v>135</v>
      </c>
      <c r="F92" s="4">
        <v>33800</v>
      </c>
      <c r="G92" s="4">
        <f>(F92-2600)/12+2600</f>
        <v>5200</v>
      </c>
      <c r="H92" s="4">
        <f>(F92-2600)/12</f>
        <v>2600</v>
      </c>
      <c r="I92" s="4">
        <f t="shared" ref="I92:R92" si="29">+H92</f>
        <v>2600</v>
      </c>
      <c r="J92" s="4">
        <f t="shared" si="29"/>
        <v>2600</v>
      </c>
      <c r="K92" s="4">
        <f t="shared" si="29"/>
        <v>2600</v>
      </c>
      <c r="L92" s="4">
        <f t="shared" si="29"/>
        <v>2600</v>
      </c>
      <c r="M92" s="4">
        <f t="shared" si="29"/>
        <v>2600</v>
      </c>
      <c r="N92" s="4">
        <f t="shared" si="29"/>
        <v>2600</v>
      </c>
      <c r="O92" s="4">
        <f t="shared" si="29"/>
        <v>2600</v>
      </c>
      <c r="P92" s="4">
        <f t="shared" si="29"/>
        <v>2600</v>
      </c>
      <c r="Q92" s="4">
        <f t="shared" si="29"/>
        <v>2600</v>
      </c>
      <c r="R92" s="4">
        <f t="shared" si="29"/>
        <v>2600</v>
      </c>
      <c r="S92" s="4">
        <f>SUM(G92:R92)</f>
        <v>33800</v>
      </c>
    </row>
    <row r="93" spans="2:19" ht="15" x14ac:dyDescent="0.35">
      <c r="D93" s="5" t="s">
        <v>27</v>
      </c>
      <c r="E93" s="9"/>
      <c r="F93" s="6">
        <v>115050</v>
      </c>
      <c r="G93" s="6">
        <f t="shared" ref="G93:S93" si="30">SUM(G89:G92)</f>
        <v>17700</v>
      </c>
      <c r="H93" s="6">
        <f t="shared" si="30"/>
        <v>8850</v>
      </c>
      <c r="I93" s="6">
        <f t="shared" si="30"/>
        <v>8850</v>
      </c>
      <c r="J93" s="6">
        <f t="shared" si="30"/>
        <v>8850</v>
      </c>
      <c r="K93" s="6">
        <f t="shared" si="30"/>
        <v>8850</v>
      </c>
      <c r="L93" s="6">
        <f t="shared" si="30"/>
        <v>8850</v>
      </c>
      <c r="M93" s="6">
        <f t="shared" si="30"/>
        <v>8850</v>
      </c>
      <c r="N93" s="6">
        <f t="shared" si="30"/>
        <v>8850</v>
      </c>
      <c r="O93" s="6">
        <f t="shared" si="30"/>
        <v>8850</v>
      </c>
      <c r="P93" s="6">
        <f t="shared" si="30"/>
        <v>8850</v>
      </c>
      <c r="Q93" s="6">
        <f t="shared" si="30"/>
        <v>8850</v>
      </c>
      <c r="R93" s="6">
        <f t="shared" si="30"/>
        <v>8850</v>
      </c>
      <c r="S93" s="6">
        <f t="shared" si="30"/>
        <v>115050</v>
      </c>
    </row>
    <row r="94" spans="2:19" x14ac:dyDescent="0.2">
      <c r="C94" t="s">
        <v>7</v>
      </c>
      <c r="E94" s="13">
        <v>1.4999999999999999E-2</v>
      </c>
      <c r="F94" s="14">
        <v>1725.75</v>
      </c>
      <c r="G94" s="14">
        <f>+$F94/$F$93*G$93</f>
        <v>265.5</v>
      </c>
      <c r="H94" s="14">
        <f t="shared" ref="H94:R97" si="31">+$F94/$F$93*H$93</f>
        <v>132.75</v>
      </c>
      <c r="I94" s="14">
        <f t="shared" si="31"/>
        <v>132.75</v>
      </c>
      <c r="J94" s="14">
        <f t="shared" si="31"/>
        <v>132.75</v>
      </c>
      <c r="K94" s="14">
        <f t="shared" si="31"/>
        <v>132.75</v>
      </c>
      <c r="L94" s="14">
        <f t="shared" si="31"/>
        <v>132.75</v>
      </c>
      <c r="M94" s="14">
        <f t="shared" si="31"/>
        <v>132.75</v>
      </c>
      <c r="N94" s="14">
        <f t="shared" si="31"/>
        <v>132.75</v>
      </c>
      <c r="O94" s="14">
        <f t="shared" si="31"/>
        <v>132.75</v>
      </c>
      <c r="P94" s="14">
        <f t="shared" si="31"/>
        <v>132.75</v>
      </c>
      <c r="Q94" s="14">
        <f t="shared" si="31"/>
        <v>132.75</v>
      </c>
      <c r="R94" s="14">
        <f t="shared" si="31"/>
        <v>132.75</v>
      </c>
      <c r="S94" s="14">
        <f t="shared" ref="S94:S104" si="32">SUM(G94:R94)</f>
        <v>1725.75</v>
      </c>
    </row>
    <row r="95" spans="2:19" x14ac:dyDescent="0.2">
      <c r="C95" t="s">
        <v>8</v>
      </c>
      <c r="E95" s="3" t="s">
        <v>52</v>
      </c>
      <c r="F95" s="14">
        <v>9179.3250000000007</v>
      </c>
      <c r="G95" s="14">
        <f>+$F95/$F$93*G$93</f>
        <v>1412.2038461538464</v>
      </c>
      <c r="H95" s="14">
        <f t="shared" si="31"/>
        <v>706.10192307692319</v>
      </c>
      <c r="I95" s="14">
        <f t="shared" si="31"/>
        <v>706.10192307692319</v>
      </c>
      <c r="J95" s="14">
        <f t="shared" si="31"/>
        <v>706.10192307692319</v>
      </c>
      <c r="K95" s="14">
        <f t="shared" si="31"/>
        <v>706.10192307692319</v>
      </c>
      <c r="L95" s="14">
        <f t="shared" si="31"/>
        <v>706.10192307692319</v>
      </c>
      <c r="M95" s="14">
        <f t="shared" si="31"/>
        <v>706.10192307692319</v>
      </c>
      <c r="N95" s="14">
        <f t="shared" si="31"/>
        <v>706.10192307692319</v>
      </c>
      <c r="O95" s="14">
        <f t="shared" si="31"/>
        <v>706.10192307692319</v>
      </c>
      <c r="P95" s="14">
        <f t="shared" si="31"/>
        <v>706.10192307692319</v>
      </c>
      <c r="Q95" s="14">
        <f t="shared" si="31"/>
        <v>706.10192307692319</v>
      </c>
      <c r="R95" s="14">
        <f t="shared" si="31"/>
        <v>706.10192307692319</v>
      </c>
      <c r="S95" s="14">
        <f t="shared" si="32"/>
        <v>9179.3250000000025</v>
      </c>
    </row>
    <row r="96" spans="2:19" x14ac:dyDescent="0.2">
      <c r="C96" t="s">
        <v>9</v>
      </c>
      <c r="E96" s="3" t="str">
        <f>CONCATENATE(ins," per month per employee")</f>
        <v>266.666666666666 per month per employee</v>
      </c>
      <c r="F96" s="14">
        <v>6500</v>
      </c>
      <c r="G96" s="14">
        <f>+$F96/$F$93*G$93</f>
        <v>1000</v>
      </c>
      <c r="H96" s="14">
        <f t="shared" si="31"/>
        <v>500</v>
      </c>
      <c r="I96" s="14">
        <f t="shared" si="31"/>
        <v>500</v>
      </c>
      <c r="J96" s="14">
        <f t="shared" si="31"/>
        <v>500</v>
      </c>
      <c r="K96" s="14">
        <f t="shared" si="31"/>
        <v>500</v>
      </c>
      <c r="L96" s="14">
        <f t="shared" si="31"/>
        <v>500</v>
      </c>
      <c r="M96" s="14">
        <f t="shared" si="31"/>
        <v>500</v>
      </c>
      <c r="N96" s="14">
        <f t="shared" si="31"/>
        <v>500</v>
      </c>
      <c r="O96" s="14">
        <f t="shared" si="31"/>
        <v>500</v>
      </c>
      <c r="P96" s="14">
        <f t="shared" si="31"/>
        <v>500</v>
      </c>
      <c r="Q96" s="14">
        <f t="shared" si="31"/>
        <v>500</v>
      </c>
      <c r="R96" s="14">
        <f t="shared" si="31"/>
        <v>500</v>
      </c>
      <c r="S96" s="14">
        <f t="shared" si="32"/>
        <v>6500</v>
      </c>
    </row>
    <row r="97" spans="2:19" ht="15" x14ac:dyDescent="0.35">
      <c r="C97" t="s">
        <v>10</v>
      </c>
      <c r="E97" s="11" t="s">
        <v>53</v>
      </c>
      <c r="F97" s="4">
        <v>1150.5</v>
      </c>
      <c r="G97" s="4">
        <f>+$F97/$F$93*G$93</f>
        <v>177</v>
      </c>
      <c r="H97" s="4">
        <f t="shared" si="31"/>
        <v>88.5</v>
      </c>
      <c r="I97" s="4">
        <f t="shared" si="31"/>
        <v>88.5</v>
      </c>
      <c r="J97" s="4">
        <f t="shared" si="31"/>
        <v>88.5</v>
      </c>
      <c r="K97" s="4">
        <f t="shared" si="31"/>
        <v>88.5</v>
      </c>
      <c r="L97" s="4">
        <f t="shared" si="31"/>
        <v>88.5</v>
      </c>
      <c r="M97" s="4">
        <f t="shared" si="31"/>
        <v>88.5</v>
      </c>
      <c r="N97" s="4">
        <f t="shared" si="31"/>
        <v>88.5</v>
      </c>
      <c r="O97" s="4">
        <f t="shared" si="31"/>
        <v>88.5</v>
      </c>
      <c r="P97" s="4">
        <f t="shared" si="31"/>
        <v>88.5</v>
      </c>
      <c r="Q97" s="4">
        <f t="shared" si="31"/>
        <v>88.5</v>
      </c>
      <c r="R97" s="4">
        <f t="shared" si="31"/>
        <v>88.5</v>
      </c>
      <c r="S97" s="4">
        <f t="shared" si="32"/>
        <v>1150.5</v>
      </c>
    </row>
    <row r="98" spans="2:19" ht="15" x14ac:dyDescent="0.35">
      <c r="D98" s="5" t="s">
        <v>28</v>
      </c>
      <c r="E98" s="9"/>
      <c r="F98" s="6">
        <v>18555.575000000001</v>
      </c>
      <c r="G98" s="6">
        <f t="shared" ref="G98:S98" si="33">SUM(G94:G97)</f>
        <v>2854.7038461538464</v>
      </c>
      <c r="H98" s="6">
        <f t="shared" si="33"/>
        <v>1427.3519230769232</v>
      </c>
      <c r="I98" s="6">
        <f t="shared" si="33"/>
        <v>1427.3519230769232</v>
      </c>
      <c r="J98" s="6">
        <f t="shared" si="33"/>
        <v>1427.3519230769232</v>
      </c>
      <c r="K98" s="6">
        <f t="shared" si="33"/>
        <v>1427.3519230769232</v>
      </c>
      <c r="L98" s="6">
        <f t="shared" si="33"/>
        <v>1427.3519230769232</v>
      </c>
      <c r="M98" s="6">
        <f t="shared" si="33"/>
        <v>1427.3519230769232</v>
      </c>
      <c r="N98" s="6">
        <f t="shared" si="33"/>
        <v>1427.3519230769232</v>
      </c>
      <c r="O98" s="6">
        <f t="shared" si="33"/>
        <v>1427.3519230769232</v>
      </c>
      <c r="P98" s="6">
        <f t="shared" si="33"/>
        <v>1427.3519230769232</v>
      </c>
      <c r="Q98" s="6">
        <f t="shared" si="33"/>
        <v>1427.3519230769232</v>
      </c>
      <c r="R98" s="6">
        <f t="shared" si="33"/>
        <v>1427.3519230769232</v>
      </c>
      <c r="S98" s="6">
        <f t="shared" si="33"/>
        <v>18555.575000000004</v>
      </c>
    </row>
    <row r="99" spans="2:19" x14ac:dyDescent="0.2">
      <c r="C99" t="s">
        <v>12</v>
      </c>
      <c r="E99" s="3" t="s">
        <v>54</v>
      </c>
      <c r="F99" s="14">
        <v>2000</v>
      </c>
      <c r="G99" s="14">
        <f>+F99/12</f>
        <v>166.66666666666666</v>
      </c>
      <c r="H99" s="14">
        <f>+G99</f>
        <v>166.66666666666666</v>
      </c>
      <c r="I99" s="14">
        <f t="shared" ref="I99:R99" si="34">+H99</f>
        <v>166.66666666666666</v>
      </c>
      <c r="J99" s="14">
        <f t="shared" si="34"/>
        <v>166.66666666666666</v>
      </c>
      <c r="K99" s="14">
        <f t="shared" si="34"/>
        <v>166.66666666666666</v>
      </c>
      <c r="L99" s="14">
        <f t="shared" si="34"/>
        <v>166.66666666666666</v>
      </c>
      <c r="M99" s="14">
        <f t="shared" si="34"/>
        <v>166.66666666666666</v>
      </c>
      <c r="N99" s="14">
        <f t="shared" si="34"/>
        <v>166.66666666666666</v>
      </c>
      <c r="O99" s="14">
        <f t="shared" si="34"/>
        <v>166.66666666666666</v>
      </c>
      <c r="P99" s="14">
        <f t="shared" si="34"/>
        <v>166.66666666666666</v>
      </c>
      <c r="Q99" s="14">
        <f t="shared" si="34"/>
        <v>166.66666666666666</v>
      </c>
      <c r="R99" s="14">
        <f t="shared" si="34"/>
        <v>166.66666666666666</v>
      </c>
      <c r="S99" s="14">
        <f t="shared" si="32"/>
        <v>2000.0000000000002</v>
      </c>
    </row>
    <row r="100" spans="2:19" x14ac:dyDescent="0.2">
      <c r="C100" t="s">
        <v>29</v>
      </c>
      <c r="E100" s="3" t="s">
        <v>138</v>
      </c>
      <c r="F100" s="14">
        <v>9000</v>
      </c>
      <c r="G100" s="14">
        <f>+F100/12</f>
        <v>750</v>
      </c>
      <c r="H100" s="14">
        <f t="shared" ref="H100:R101" si="35">+G100</f>
        <v>750</v>
      </c>
      <c r="I100" s="14">
        <f t="shared" si="35"/>
        <v>750</v>
      </c>
      <c r="J100" s="14">
        <f t="shared" si="35"/>
        <v>750</v>
      </c>
      <c r="K100" s="14">
        <f t="shared" si="35"/>
        <v>750</v>
      </c>
      <c r="L100" s="14">
        <f t="shared" si="35"/>
        <v>750</v>
      </c>
      <c r="M100" s="14">
        <f t="shared" si="35"/>
        <v>750</v>
      </c>
      <c r="N100" s="14">
        <f t="shared" si="35"/>
        <v>750</v>
      </c>
      <c r="O100" s="14">
        <f t="shared" si="35"/>
        <v>750</v>
      </c>
      <c r="P100" s="14">
        <f t="shared" si="35"/>
        <v>750</v>
      </c>
      <c r="Q100" s="14">
        <f t="shared" si="35"/>
        <v>750</v>
      </c>
      <c r="R100" s="14">
        <f t="shared" si="35"/>
        <v>750</v>
      </c>
      <c r="S100" s="14">
        <f t="shared" si="32"/>
        <v>9000</v>
      </c>
    </row>
    <row r="101" spans="2:19" x14ac:dyDescent="0.2">
      <c r="C101" t="s">
        <v>30</v>
      </c>
      <c r="E101" s="3" t="s">
        <v>54</v>
      </c>
      <c r="F101" s="14">
        <v>3600</v>
      </c>
      <c r="G101" s="14">
        <f>+F101/12</f>
        <v>300</v>
      </c>
      <c r="H101" s="14">
        <f t="shared" si="35"/>
        <v>300</v>
      </c>
      <c r="I101" s="14">
        <f t="shared" si="35"/>
        <v>300</v>
      </c>
      <c r="J101" s="14">
        <f t="shared" si="35"/>
        <v>300</v>
      </c>
      <c r="K101" s="14">
        <f t="shared" si="35"/>
        <v>300</v>
      </c>
      <c r="L101" s="14">
        <f t="shared" si="35"/>
        <v>300</v>
      </c>
      <c r="M101" s="14">
        <f t="shared" si="35"/>
        <v>300</v>
      </c>
      <c r="N101" s="14">
        <f t="shared" si="35"/>
        <v>300</v>
      </c>
      <c r="O101" s="14">
        <f t="shared" si="35"/>
        <v>300</v>
      </c>
      <c r="P101" s="14">
        <f t="shared" si="35"/>
        <v>300</v>
      </c>
      <c r="Q101" s="14">
        <f t="shared" si="35"/>
        <v>300</v>
      </c>
      <c r="R101" s="14">
        <f t="shared" si="35"/>
        <v>300</v>
      </c>
      <c r="S101" s="14">
        <f t="shared" si="32"/>
        <v>3600</v>
      </c>
    </row>
    <row r="102" spans="2:19" x14ac:dyDescent="0.2">
      <c r="C102" t="s">
        <v>73</v>
      </c>
      <c r="E102" s="3" t="s">
        <v>54</v>
      </c>
      <c r="F102" s="14">
        <v>7500</v>
      </c>
      <c r="G102" s="14">
        <f>+F102/4</f>
        <v>1875</v>
      </c>
      <c r="H102" s="14">
        <f>(F102-G102)/11</f>
        <v>511.36363636363637</v>
      </c>
      <c r="I102" s="14">
        <f>+H102</f>
        <v>511.36363636363637</v>
      </c>
      <c r="J102" s="14">
        <f t="shared" ref="J102:O102" si="36">+I102</f>
        <v>511.36363636363637</v>
      </c>
      <c r="K102" s="14">
        <f t="shared" si="36"/>
        <v>511.36363636363637</v>
      </c>
      <c r="L102" s="14">
        <f t="shared" si="36"/>
        <v>511.36363636363637</v>
      </c>
      <c r="M102" s="14">
        <f t="shared" si="36"/>
        <v>511.36363636363637</v>
      </c>
      <c r="N102" s="14">
        <f t="shared" si="36"/>
        <v>511.36363636363637</v>
      </c>
      <c r="O102" s="14">
        <f t="shared" si="36"/>
        <v>511.36363636363637</v>
      </c>
      <c r="P102" s="14">
        <f t="shared" ref="P102:R105" si="37">+O102</f>
        <v>511.36363636363637</v>
      </c>
      <c r="Q102" s="14">
        <f t="shared" si="37"/>
        <v>511.36363636363637</v>
      </c>
      <c r="R102" s="14">
        <f t="shared" si="37"/>
        <v>511.36363636363637</v>
      </c>
      <c r="S102" s="14">
        <f t="shared" si="32"/>
        <v>7499.9999999999982</v>
      </c>
    </row>
    <row r="103" spans="2:19" x14ac:dyDescent="0.2">
      <c r="C103" t="s">
        <v>13</v>
      </c>
      <c r="E103" s="3" t="s">
        <v>54</v>
      </c>
      <c r="F103" s="14">
        <v>3600</v>
      </c>
      <c r="G103" s="14">
        <f>+F103/4</f>
        <v>900</v>
      </c>
      <c r="H103" s="14">
        <f>(F103-G103)/11</f>
        <v>245.45454545454547</v>
      </c>
      <c r="I103" s="14">
        <f t="shared" ref="I103:O105" si="38">+H103</f>
        <v>245.45454545454547</v>
      </c>
      <c r="J103" s="14">
        <f t="shared" si="38"/>
        <v>245.45454545454547</v>
      </c>
      <c r="K103" s="14">
        <f t="shared" si="38"/>
        <v>245.45454545454547</v>
      </c>
      <c r="L103" s="14">
        <f t="shared" si="38"/>
        <v>245.45454545454547</v>
      </c>
      <c r="M103" s="14">
        <f t="shared" si="38"/>
        <v>245.45454545454547</v>
      </c>
      <c r="N103" s="14">
        <f t="shared" si="38"/>
        <v>245.45454545454547</v>
      </c>
      <c r="O103" s="14">
        <f t="shared" si="38"/>
        <v>245.45454545454547</v>
      </c>
      <c r="P103" s="14">
        <f t="shared" si="37"/>
        <v>245.45454545454547</v>
      </c>
      <c r="Q103" s="14">
        <f t="shared" si="37"/>
        <v>245.45454545454547</v>
      </c>
      <c r="R103" s="14">
        <f t="shared" si="37"/>
        <v>245.45454545454547</v>
      </c>
      <c r="S103" s="14">
        <f t="shared" si="32"/>
        <v>3600.0000000000005</v>
      </c>
    </row>
    <row r="104" spans="2:19" x14ac:dyDescent="0.2">
      <c r="C104" t="s">
        <v>15</v>
      </c>
      <c r="E104" s="3" t="s">
        <v>54</v>
      </c>
      <c r="F104" s="14">
        <v>4000</v>
      </c>
      <c r="G104" s="14">
        <f>+F104/4</f>
        <v>1000</v>
      </c>
      <c r="H104" s="14">
        <f>(F104-G104)/11</f>
        <v>272.72727272727275</v>
      </c>
      <c r="I104" s="14">
        <f t="shared" si="38"/>
        <v>272.72727272727275</v>
      </c>
      <c r="J104" s="14">
        <f t="shared" si="38"/>
        <v>272.72727272727275</v>
      </c>
      <c r="K104" s="14">
        <f t="shared" si="38"/>
        <v>272.72727272727275</v>
      </c>
      <c r="L104" s="14">
        <f t="shared" si="38"/>
        <v>272.72727272727275</v>
      </c>
      <c r="M104" s="14">
        <f t="shared" si="38"/>
        <v>272.72727272727275</v>
      </c>
      <c r="N104" s="14">
        <f t="shared" si="38"/>
        <v>272.72727272727275</v>
      </c>
      <c r="O104" s="14">
        <f t="shared" si="38"/>
        <v>272.72727272727275</v>
      </c>
      <c r="P104" s="14">
        <f t="shared" si="37"/>
        <v>272.72727272727275</v>
      </c>
      <c r="Q104" s="14">
        <f t="shared" si="37"/>
        <v>272.72727272727275</v>
      </c>
      <c r="R104" s="14">
        <f t="shared" si="37"/>
        <v>272.72727272727275</v>
      </c>
      <c r="S104" s="14">
        <f t="shared" si="32"/>
        <v>4000.0000000000018</v>
      </c>
    </row>
    <row r="105" spans="2:19" ht="15" x14ac:dyDescent="0.35">
      <c r="C105" t="s">
        <v>16</v>
      </c>
      <c r="E105" s="3" t="s">
        <v>54</v>
      </c>
      <c r="F105" s="4">
        <v>1500</v>
      </c>
      <c r="G105" s="4">
        <f>+F105/4</f>
        <v>375</v>
      </c>
      <c r="H105" s="4">
        <f>(F105-G105)/11</f>
        <v>102.27272727272727</v>
      </c>
      <c r="I105" s="4">
        <f t="shared" si="38"/>
        <v>102.27272727272727</v>
      </c>
      <c r="J105" s="4">
        <f t="shared" si="38"/>
        <v>102.27272727272727</v>
      </c>
      <c r="K105" s="4">
        <f t="shared" si="38"/>
        <v>102.27272727272727</v>
      </c>
      <c r="L105" s="4">
        <f t="shared" si="38"/>
        <v>102.27272727272727</v>
      </c>
      <c r="M105" s="4">
        <f t="shared" si="38"/>
        <v>102.27272727272727</v>
      </c>
      <c r="N105" s="4">
        <f t="shared" si="38"/>
        <v>102.27272727272727</v>
      </c>
      <c r="O105" s="4">
        <f t="shared" si="38"/>
        <v>102.27272727272727</v>
      </c>
      <c r="P105" s="4">
        <f t="shared" si="37"/>
        <v>102.27272727272727</v>
      </c>
      <c r="Q105" s="4">
        <f t="shared" si="37"/>
        <v>102.27272727272727</v>
      </c>
      <c r="R105" s="4">
        <f t="shared" si="37"/>
        <v>102.27272727272727</v>
      </c>
      <c r="S105" s="4">
        <f>SUM(G105:R105)</f>
        <v>1499.9999999999998</v>
      </c>
    </row>
    <row r="106" spans="2:19" ht="15" x14ac:dyDescent="0.35">
      <c r="B106" s="5"/>
      <c r="C106" s="5"/>
      <c r="D106" s="5" t="s">
        <v>31</v>
      </c>
      <c r="E106" s="9"/>
      <c r="F106" s="6">
        <v>31200</v>
      </c>
      <c r="G106" s="6">
        <f t="shared" ref="G106:S106" si="39">SUM(G99:G105)</f>
        <v>5366.6666666666661</v>
      </c>
      <c r="H106" s="6">
        <f t="shared" si="39"/>
        <v>2348.4848484848485</v>
      </c>
      <c r="I106" s="6">
        <f t="shared" si="39"/>
        <v>2348.4848484848485</v>
      </c>
      <c r="J106" s="6">
        <f t="shared" si="39"/>
        <v>2348.4848484848485</v>
      </c>
      <c r="K106" s="6">
        <f t="shared" si="39"/>
        <v>2348.4848484848485</v>
      </c>
      <c r="L106" s="6">
        <f t="shared" si="39"/>
        <v>2348.4848484848485</v>
      </c>
      <c r="M106" s="6">
        <f t="shared" si="39"/>
        <v>2348.4848484848485</v>
      </c>
      <c r="N106" s="6">
        <f t="shared" si="39"/>
        <v>2348.4848484848485</v>
      </c>
      <c r="O106" s="6">
        <f t="shared" si="39"/>
        <v>2348.4848484848485</v>
      </c>
      <c r="P106" s="6">
        <f t="shared" si="39"/>
        <v>2348.4848484848485</v>
      </c>
      <c r="Q106" s="6">
        <f t="shared" si="39"/>
        <v>2348.4848484848485</v>
      </c>
      <c r="R106" s="6">
        <f t="shared" si="39"/>
        <v>2348.4848484848485</v>
      </c>
      <c r="S106" s="6">
        <f t="shared" si="39"/>
        <v>31200</v>
      </c>
    </row>
    <row r="107" spans="2:19" ht="15" x14ac:dyDescent="0.35">
      <c r="B107" s="5" t="s">
        <v>32</v>
      </c>
      <c r="C107" s="5"/>
      <c r="D107" s="5"/>
      <c r="E107" s="9"/>
      <c r="F107" s="6">
        <v>164805.57500000001</v>
      </c>
      <c r="G107" s="6">
        <f t="shared" ref="G107:S107" si="40">SUM(G106,G98,G93)</f>
        <v>25921.370512820511</v>
      </c>
      <c r="H107" s="6">
        <f t="shared" si="40"/>
        <v>12625.836771561771</v>
      </c>
      <c r="I107" s="6">
        <f t="shared" si="40"/>
        <v>12625.836771561771</v>
      </c>
      <c r="J107" s="6">
        <f t="shared" si="40"/>
        <v>12625.836771561771</v>
      </c>
      <c r="K107" s="6">
        <f t="shared" si="40"/>
        <v>12625.836771561771</v>
      </c>
      <c r="L107" s="6">
        <f t="shared" si="40"/>
        <v>12625.836771561771</v>
      </c>
      <c r="M107" s="6">
        <f t="shared" si="40"/>
        <v>12625.836771561771</v>
      </c>
      <c r="N107" s="6">
        <f t="shared" si="40"/>
        <v>12625.836771561771</v>
      </c>
      <c r="O107" s="6">
        <f t="shared" si="40"/>
        <v>12625.836771561771</v>
      </c>
      <c r="P107" s="6">
        <f t="shared" si="40"/>
        <v>12625.836771561771</v>
      </c>
      <c r="Q107" s="6">
        <f t="shared" si="40"/>
        <v>12625.836771561771</v>
      </c>
      <c r="R107" s="6">
        <f t="shared" si="40"/>
        <v>12625.836771561771</v>
      </c>
      <c r="S107" s="6">
        <f t="shared" si="40"/>
        <v>164805.57500000001</v>
      </c>
    </row>
    <row r="109" spans="2:19" x14ac:dyDescent="0.2">
      <c r="B109" s="5" t="s">
        <v>50</v>
      </c>
    </row>
    <row r="110" spans="2:19" x14ac:dyDescent="0.2">
      <c r="B110" s="5"/>
      <c r="C110" t="s">
        <v>33</v>
      </c>
      <c r="F110" s="14">
        <v>75100</v>
      </c>
      <c r="G110" s="14">
        <f>+F110/12</f>
        <v>6258.333333333333</v>
      </c>
      <c r="H110" s="14">
        <f>+G110</f>
        <v>6258.333333333333</v>
      </c>
      <c r="I110" s="14">
        <f>+H110</f>
        <v>6258.333333333333</v>
      </c>
      <c r="J110" s="14">
        <f t="shared" ref="J110:R110" si="41">+I110</f>
        <v>6258.333333333333</v>
      </c>
      <c r="K110" s="14">
        <f t="shared" si="41"/>
        <v>6258.333333333333</v>
      </c>
      <c r="L110" s="14">
        <f t="shared" si="41"/>
        <v>6258.333333333333</v>
      </c>
      <c r="M110" s="14">
        <f t="shared" si="41"/>
        <v>6258.333333333333</v>
      </c>
      <c r="N110" s="14">
        <f t="shared" si="41"/>
        <v>6258.333333333333</v>
      </c>
      <c r="O110" s="14">
        <f t="shared" si="41"/>
        <v>6258.333333333333</v>
      </c>
      <c r="P110" s="14">
        <f t="shared" si="41"/>
        <v>6258.333333333333</v>
      </c>
      <c r="Q110" s="14">
        <f t="shared" si="41"/>
        <v>6258.333333333333</v>
      </c>
      <c r="R110" s="14">
        <f t="shared" si="41"/>
        <v>6258.333333333333</v>
      </c>
      <c r="S110" s="14">
        <f>SUM(G110:R110)</f>
        <v>75100</v>
      </c>
    </row>
    <row r="111" spans="2:19" x14ac:dyDescent="0.2">
      <c r="B111" s="5"/>
      <c r="C111" t="s">
        <v>78</v>
      </c>
      <c r="E111" s="3" t="s">
        <v>139</v>
      </c>
      <c r="F111" s="14">
        <v>3000</v>
      </c>
      <c r="G111" s="14">
        <f>+F111/4</f>
        <v>750</v>
      </c>
      <c r="H111" s="14">
        <f>+(F111-G111)/11</f>
        <v>204.54545454545453</v>
      </c>
      <c r="I111" s="14">
        <f>+H111</f>
        <v>204.54545454545453</v>
      </c>
      <c r="J111" s="14">
        <f t="shared" ref="J111:R111" si="42">+I111</f>
        <v>204.54545454545453</v>
      </c>
      <c r="K111" s="14">
        <f t="shared" si="42"/>
        <v>204.54545454545453</v>
      </c>
      <c r="L111" s="14">
        <f t="shared" si="42"/>
        <v>204.54545454545453</v>
      </c>
      <c r="M111" s="14">
        <f t="shared" si="42"/>
        <v>204.54545454545453</v>
      </c>
      <c r="N111" s="14">
        <f t="shared" si="42"/>
        <v>204.54545454545453</v>
      </c>
      <c r="O111" s="14">
        <f t="shared" si="42"/>
        <v>204.54545454545453</v>
      </c>
      <c r="P111" s="14">
        <f t="shared" si="42"/>
        <v>204.54545454545453</v>
      </c>
      <c r="Q111" s="14">
        <f t="shared" si="42"/>
        <v>204.54545454545453</v>
      </c>
      <c r="R111" s="14">
        <f t="shared" si="42"/>
        <v>204.54545454545453</v>
      </c>
      <c r="S111" s="14">
        <f>SUM(G111:R111)</f>
        <v>2999.9999999999995</v>
      </c>
    </row>
    <row r="112" spans="2:19" ht="15" x14ac:dyDescent="0.35">
      <c r="B112" s="5"/>
      <c r="C112" t="s">
        <v>79</v>
      </c>
      <c r="E112" s="3" t="s">
        <v>54</v>
      </c>
      <c r="F112" s="4">
        <v>2000</v>
      </c>
      <c r="G112" s="4">
        <f>+F112/4</f>
        <v>500</v>
      </c>
      <c r="H112" s="4">
        <f>+(F112-G112)/11</f>
        <v>136.36363636363637</v>
      </c>
      <c r="I112" s="4">
        <f>+H112</f>
        <v>136.36363636363637</v>
      </c>
      <c r="J112" s="4">
        <f t="shared" ref="J112:R112" si="43">+I112</f>
        <v>136.36363636363637</v>
      </c>
      <c r="K112" s="4">
        <f t="shared" si="43"/>
        <v>136.36363636363637</v>
      </c>
      <c r="L112" s="4">
        <f t="shared" si="43"/>
        <v>136.36363636363637</v>
      </c>
      <c r="M112" s="4">
        <f t="shared" si="43"/>
        <v>136.36363636363637</v>
      </c>
      <c r="N112" s="4">
        <f t="shared" si="43"/>
        <v>136.36363636363637</v>
      </c>
      <c r="O112" s="4">
        <f t="shared" si="43"/>
        <v>136.36363636363637</v>
      </c>
      <c r="P112" s="4">
        <f t="shared" si="43"/>
        <v>136.36363636363637</v>
      </c>
      <c r="Q112" s="4">
        <f t="shared" si="43"/>
        <v>136.36363636363637</v>
      </c>
      <c r="R112" s="4">
        <f t="shared" si="43"/>
        <v>136.36363636363637</v>
      </c>
      <c r="S112" s="4">
        <f>SUM(G112:R112)</f>
        <v>2000.0000000000009</v>
      </c>
    </row>
    <row r="113" spans="2:19" ht="15" x14ac:dyDescent="0.35">
      <c r="B113" s="5" t="s">
        <v>77</v>
      </c>
      <c r="C113" s="5"/>
      <c r="D113" s="5"/>
      <c r="E113" s="9"/>
      <c r="F113" s="6">
        <v>80100</v>
      </c>
      <c r="G113" s="6">
        <f t="shared" ref="G113:S113" si="44">SUM(G110:G112)</f>
        <v>7508.333333333333</v>
      </c>
      <c r="H113" s="6">
        <f t="shared" si="44"/>
        <v>6599.242424242424</v>
      </c>
      <c r="I113" s="6">
        <f t="shared" si="44"/>
        <v>6599.242424242424</v>
      </c>
      <c r="J113" s="6">
        <f t="shared" si="44"/>
        <v>6599.242424242424</v>
      </c>
      <c r="K113" s="6">
        <f t="shared" si="44"/>
        <v>6599.242424242424</v>
      </c>
      <c r="L113" s="6">
        <f t="shared" si="44"/>
        <v>6599.242424242424</v>
      </c>
      <c r="M113" s="6">
        <f t="shared" si="44"/>
        <v>6599.242424242424</v>
      </c>
      <c r="N113" s="6">
        <f t="shared" si="44"/>
        <v>6599.242424242424</v>
      </c>
      <c r="O113" s="6">
        <f t="shared" si="44"/>
        <v>6599.242424242424</v>
      </c>
      <c r="P113" s="6">
        <f t="shared" si="44"/>
        <v>6599.242424242424</v>
      </c>
      <c r="Q113" s="6">
        <f t="shared" si="44"/>
        <v>6599.242424242424</v>
      </c>
      <c r="R113" s="6">
        <f t="shared" si="44"/>
        <v>6599.242424242424</v>
      </c>
      <c r="S113" s="6">
        <f t="shared" si="44"/>
        <v>80100</v>
      </c>
    </row>
    <row r="114" spans="2:19" hidden="1" x14ac:dyDescent="0.2"/>
    <row r="115" spans="2:19" hidden="1" x14ac:dyDescent="0.2">
      <c r="B115" s="5" t="s">
        <v>34</v>
      </c>
    </row>
    <row r="116" spans="2:19" hidden="1" x14ac:dyDescent="0.2">
      <c r="C116" t="s">
        <v>46</v>
      </c>
      <c r="E116" s="11" t="s">
        <v>85</v>
      </c>
      <c r="F116" s="14">
        <v>0</v>
      </c>
    </row>
    <row r="117" spans="2:19" ht="15" hidden="1" x14ac:dyDescent="0.35">
      <c r="C117" t="s">
        <v>47</v>
      </c>
      <c r="E117" s="11" t="s">
        <v>86</v>
      </c>
      <c r="F117" s="4">
        <v>0</v>
      </c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</row>
    <row r="118" spans="2:19" ht="15" hidden="1" x14ac:dyDescent="0.35">
      <c r="B118" s="5" t="s">
        <v>48</v>
      </c>
      <c r="C118" s="5"/>
      <c r="D118" s="5"/>
      <c r="E118" s="9"/>
      <c r="F118" s="6">
        <v>0</v>
      </c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</row>
    <row r="119" spans="2:19" ht="15" x14ac:dyDescent="0.35">
      <c r="B119" s="5"/>
      <c r="C119" s="5"/>
      <c r="D119" s="5"/>
      <c r="E119" s="9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</row>
    <row r="120" spans="2:19" x14ac:dyDescent="0.2">
      <c r="B120" s="5" t="s">
        <v>80</v>
      </c>
    </row>
    <row r="121" spans="2:19" ht="15" x14ac:dyDescent="0.35">
      <c r="C121" t="s">
        <v>147</v>
      </c>
      <c r="E121" s="3" t="s">
        <v>135</v>
      </c>
      <c r="F121" s="4">
        <v>17280</v>
      </c>
      <c r="G121" s="4">
        <v>0</v>
      </c>
      <c r="H121" s="4">
        <f>+F121/10</f>
        <v>1728</v>
      </c>
      <c r="I121" s="4">
        <f>+H121</f>
        <v>1728</v>
      </c>
      <c r="J121" s="4">
        <f t="shared" ref="J121:Q121" si="45">+I121</f>
        <v>1728</v>
      </c>
      <c r="K121" s="4">
        <f t="shared" si="45"/>
        <v>1728</v>
      </c>
      <c r="L121" s="4">
        <f t="shared" si="45"/>
        <v>1728</v>
      </c>
      <c r="M121" s="4">
        <f t="shared" si="45"/>
        <v>1728</v>
      </c>
      <c r="N121" s="4">
        <f t="shared" si="45"/>
        <v>1728</v>
      </c>
      <c r="O121" s="4">
        <f t="shared" si="45"/>
        <v>1728</v>
      </c>
      <c r="P121" s="4">
        <f t="shared" si="45"/>
        <v>1728</v>
      </c>
      <c r="Q121" s="4">
        <f t="shared" si="45"/>
        <v>1728</v>
      </c>
      <c r="R121" s="4">
        <v>0</v>
      </c>
      <c r="S121" s="4">
        <f>SUM(G121:R121)</f>
        <v>17280</v>
      </c>
    </row>
    <row r="122" spans="2:19" ht="15" x14ac:dyDescent="0.35">
      <c r="D122" s="5" t="s">
        <v>148</v>
      </c>
      <c r="E122" s="9"/>
      <c r="F122" s="6">
        <v>17280</v>
      </c>
      <c r="G122" s="6">
        <f t="shared" ref="G122:S122" si="46">SUM(G121)</f>
        <v>0</v>
      </c>
      <c r="H122" s="6">
        <f t="shared" si="46"/>
        <v>1728</v>
      </c>
      <c r="I122" s="6">
        <f t="shared" si="46"/>
        <v>1728</v>
      </c>
      <c r="J122" s="6">
        <f t="shared" si="46"/>
        <v>1728</v>
      </c>
      <c r="K122" s="6">
        <f t="shared" si="46"/>
        <v>1728</v>
      </c>
      <c r="L122" s="6">
        <f t="shared" si="46"/>
        <v>1728</v>
      </c>
      <c r="M122" s="6">
        <f t="shared" si="46"/>
        <v>1728</v>
      </c>
      <c r="N122" s="6">
        <f t="shared" si="46"/>
        <v>1728</v>
      </c>
      <c r="O122" s="6">
        <f t="shared" si="46"/>
        <v>1728</v>
      </c>
      <c r="P122" s="6">
        <f t="shared" si="46"/>
        <v>1728</v>
      </c>
      <c r="Q122" s="6">
        <f t="shared" si="46"/>
        <v>1728</v>
      </c>
      <c r="R122" s="6">
        <f t="shared" si="46"/>
        <v>0</v>
      </c>
      <c r="S122" s="6">
        <f t="shared" si="46"/>
        <v>17280</v>
      </c>
    </row>
    <row r="123" spans="2:19" x14ac:dyDescent="0.2">
      <c r="C123" t="s">
        <v>7</v>
      </c>
      <c r="E123" s="13">
        <v>1.4999999999999999E-2</v>
      </c>
      <c r="F123" s="14">
        <v>259.2</v>
      </c>
      <c r="G123" s="14">
        <f>+$F123/$F$122*G$122</f>
        <v>0</v>
      </c>
      <c r="H123" s="14">
        <f t="shared" ref="H123:R123" si="47">+$F123/$F$122*H$122</f>
        <v>25.919999999999998</v>
      </c>
      <c r="I123" s="14">
        <f t="shared" si="47"/>
        <v>25.919999999999998</v>
      </c>
      <c r="J123" s="14">
        <f t="shared" si="47"/>
        <v>25.919999999999998</v>
      </c>
      <c r="K123" s="14">
        <f t="shared" si="47"/>
        <v>25.919999999999998</v>
      </c>
      <c r="L123" s="14">
        <f t="shared" si="47"/>
        <v>25.919999999999998</v>
      </c>
      <c r="M123" s="14">
        <f t="shared" si="47"/>
        <v>25.919999999999998</v>
      </c>
      <c r="N123" s="14">
        <f t="shared" si="47"/>
        <v>25.919999999999998</v>
      </c>
      <c r="O123" s="14">
        <f t="shared" si="47"/>
        <v>25.919999999999998</v>
      </c>
      <c r="P123" s="14">
        <f t="shared" si="47"/>
        <v>25.919999999999998</v>
      </c>
      <c r="Q123" s="14">
        <f t="shared" si="47"/>
        <v>25.919999999999998</v>
      </c>
      <c r="R123" s="14">
        <f t="shared" si="47"/>
        <v>0</v>
      </c>
      <c r="S123" s="14">
        <f>SUM(G123:R123)</f>
        <v>259.19999999999993</v>
      </c>
    </row>
    <row r="124" spans="2:19" x14ac:dyDescent="0.2">
      <c r="C124" t="s">
        <v>8</v>
      </c>
      <c r="E124" s="3" t="s">
        <v>52</v>
      </c>
      <c r="F124" s="14">
        <v>1699.92</v>
      </c>
      <c r="G124" s="14">
        <f t="shared" ref="G124:R126" si="48">+$F124/$F$122*G$122</f>
        <v>0</v>
      </c>
      <c r="H124" s="14">
        <f t="shared" si="48"/>
        <v>169.99200000000002</v>
      </c>
      <c r="I124" s="14">
        <f t="shared" si="48"/>
        <v>169.99200000000002</v>
      </c>
      <c r="J124" s="14">
        <f t="shared" si="48"/>
        <v>169.99200000000002</v>
      </c>
      <c r="K124" s="14">
        <f t="shared" si="48"/>
        <v>169.99200000000002</v>
      </c>
      <c r="L124" s="14">
        <f t="shared" si="48"/>
        <v>169.99200000000002</v>
      </c>
      <c r="M124" s="14">
        <f t="shared" si="48"/>
        <v>169.99200000000002</v>
      </c>
      <c r="N124" s="14">
        <f t="shared" si="48"/>
        <v>169.99200000000002</v>
      </c>
      <c r="O124" s="14">
        <f t="shared" si="48"/>
        <v>169.99200000000002</v>
      </c>
      <c r="P124" s="14">
        <f t="shared" si="48"/>
        <v>169.99200000000002</v>
      </c>
      <c r="Q124" s="14">
        <f t="shared" si="48"/>
        <v>169.99200000000002</v>
      </c>
      <c r="R124" s="14">
        <f t="shared" si="48"/>
        <v>0</v>
      </c>
      <c r="S124" s="14">
        <f>SUM(G124:R124)</f>
        <v>1699.9199999999998</v>
      </c>
    </row>
    <row r="125" spans="2:19" hidden="1" x14ac:dyDescent="0.2">
      <c r="C125" t="s">
        <v>9</v>
      </c>
      <c r="E125" s="3" t="str">
        <f>CONCATENATE(ins," per month per employee")</f>
        <v>266.666666666666 per month per employee</v>
      </c>
      <c r="F125" s="14">
        <v>0</v>
      </c>
      <c r="G125" s="14">
        <f t="shared" si="48"/>
        <v>0</v>
      </c>
      <c r="H125" s="14">
        <f t="shared" si="48"/>
        <v>0</v>
      </c>
      <c r="I125" s="14">
        <f t="shared" si="48"/>
        <v>0</v>
      </c>
      <c r="J125" s="14">
        <f t="shared" si="48"/>
        <v>0</v>
      </c>
      <c r="K125" s="14">
        <f t="shared" si="48"/>
        <v>0</v>
      </c>
      <c r="L125" s="14">
        <f t="shared" si="48"/>
        <v>0</v>
      </c>
      <c r="M125" s="14">
        <f t="shared" si="48"/>
        <v>0</v>
      </c>
      <c r="N125" s="14">
        <f t="shared" si="48"/>
        <v>0</v>
      </c>
      <c r="O125" s="14">
        <f t="shared" si="48"/>
        <v>0</v>
      </c>
      <c r="P125" s="14">
        <f t="shared" si="48"/>
        <v>0</v>
      </c>
      <c r="Q125" s="14">
        <f t="shared" si="48"/>
        <v>0</v>
      </c>
      <c r="R125" s="14">
        <f t="shared" si="48"/>
        <v>0</v>
      </c>
      <c r="S125" s="14">
        <f>SUM(G125:R125)</f>
        <v>0</v>
      </c>
    </row>
    <row r="126" spans="2:19" ht="15" x14ac:dyDescent="0.35">
      <c r="C126" t="s">
        <v>10</v>
      </c>
      <c r="E126" s="11" t="s">
        <v>53</v>
      </c>
      <c r="F126" s="4">
        <v>172.8</v>
      </c>
      <c r="G126" s="4">
        <f t="shared" si="48"/>
        <v>0</v>
      </c>
      <c r="H126" s="4">
        <f t="shared" si="48"/>
        <v>17.28</v>
      </c>
      <c r="I126" s="4">
        <f t="shared" si="48"/>
        <v>17.28</v>
      </c>
      <c r="J126" s="4">
        <f t="shared" si="48"/>
        <v>17.28</v>
      </c>
      <c r="K126" s="4">
        <f t="shared" si="48"/>
        <v>17.28</v>
      </c>
      <c r="L126" s="4">
        <f t="shared" si="48"/>
        <v>17.28</v>
      </c>
      <c r="M126" s="4">
        <f t="shared" si="48"/>
        <v>17.28</v>
      </c>
      <c r="N126" s="4">
        <f t="shared" si="48"/>
        <v>17.28</v>
      </c>
      <c r="O126" s="4">
        <f t="shared" si="48"/>
        <v>17.28</v>
      </c>
      <c r="P126" s="4">
        <f t="shared" si="48"/>
        <v>17.28</v>
      </c>
      <c r="Q126" s="4">
        <f t="shared" si="48"/>
        <v>17.28</v>
      </c>
      <c r="R126" s="4">
        <f t="shared" si="48"/>
        <v>0</v>
      </c>
      <c r="S126" s="4">
        <f>SUM(G126:R126)</f>
        <v>172.8</v>
      </c>
    </row>
    <row r="127" spans="2:19" ht="15" x14ac:dyDescent="0.35">
      <c r="D127" s="5" t="s">
        <v>149</v>
      </c>
      <c r="E127" s="9"/>
      <c r="F127" s="6">
        <v>2131.92</v>
      </c>
      <c r="G127" s="6">
        <f t="shared" ref="G127:R127" si="49">SUM(G123:G126)</f>
        <v>0</v>
      </c>
      <c r="H127" s="6">
        <f t="shared" si="49"/>
        <v>213.19200000000001</v>
      </c>
      <c r="I127" s="6">
        <f t="shared" si="49"/>
        <v>213.19200000000001</v>
      </c>
      <c r="J127" s="6">
        <f t="shared" si="49"/>
        <v>213.19200000000001</v>
      </c>
      <c r="K127" s="6">
        <f t="shared" si="49"/>
        <v>213.19200000000001</v>
      </c>
      <c r="L127" s="6">
        <f t="shared" si="49"/>
        <v>213.19200000000001</v>
      </c>
      <c r="M127" s="6">
        <f t="shared" si="49"/>
        <v>213.19200000000001</v>
      </c>
      <c r="N127" s="6">
        <f t="shared" si="49"/>
        <v>213.19200000000001</v>
      </c>
      <c r="O127" s="6">
        <f t="shared" si="49"/>
        <v>213.19200000000001</v>
      </c>
      <c r="P127" s="6">
        <f t="shared" si="49"/>
        <v>213.19200000000001</v>
      </c>
      <c r="Q127" s="6">
        <f t="shared" si="49"/>
        <v>213.19200000000001</v>
      </c>
      <c r="R127" s="6">
        <f t="shared" si="49"/>
        <v>0</v>
      </c>
      <c r="S127" s="6">
        <f>SUM(S123:S126)</f>
        <v>2131.92</v>
      </c>
    </row>
    <row r="128" spans="2:19" ht="15" x14ac:dyDescent="0.35">
      <c r="B128" s="5"/>
      <c r="C128" t="s">
        <v>11</v>
      </c>
      <c r="F128" s="4">
        <v>29779.200000000001</v>
      </c>
      <c r="G128" s="4">
        <f>1.1*180*G7*0.8</f>
        <v>0</v>
      </c>
      <c r="H128" s="4">
        <f>+F128/10</f>
        <v>2977.92</v>
      </c>
      <c r="I128" s="4">
        <f>+H128</f>
        <v>2977.92</v>
      </c>
      <c r="J128" s="4">
        <f t="shared" ref="J128:Q128" si="50">+I128</f>
        <v>2977.92</v>
      </c>
      <c r="K128" s="4">
        <f t="shared" si="50"/>
        <v>2977.92</v>
      </c>
      <c r="L128" s="4">
        <f t="shared" si="50"/>
        <v>2977.92</v>
      </c>
      <c r="M128" s="4">
        <f t="shared" si="50"/>
        <v>2977.92</v>
      </c>
      <c r="N128" s="4">
        <f t="shared" si="50"/>
        <v>2977.92</v>
      </c>
      <c r="O128" s="4">
        <f t="shared" si="50"/>
        <v>2977.92</v>
      </c>
      <c r="P128" s="4">
        <f t="shared" si="50"/>
        <v>2977.92</v>
      </c>
      <c r="Q128" s="4">
        <f t="shared" si="50"/>
        <v>2977.92</v>
      </c>
      <c r="R128" s="4">
        <v>0</v>
      </c>
      <c r="S128" s="4">
        <f>SUM(G128:R128)</f>
        <v>29779.199999999997</v>
      </c>
    </row>
    <row r="129" spans="2:19" ht="15" x14ac:dyDescent="0.35">
      <c r="D129" s="5" t="s">
        <v>150</v>
      </c>
      <c r="E129" s="9"/>
      <c r="F129" s="6">
        <v>29779.200000000001</v>
      </c>
      <c r="G129" s="6">
        <f t="shared" ref="G129:R129" si="51">SUM(G128)</f>
        <v>0</v>
      </c>
      <c r="H129" s="6">
        <f t="shared" si="51"/>
        <v>2977.92</v>
      </c>
      <c r="I129" s="6">
        <f t="shared" si="51"/>
        <v>2977.92</v>
      </c>
      <c r="J129" s="6">
        <f t="shared" si="51"/>
        <v>2977.92</v>
      </c>
      <c r="K129" s="6">
        <f t="shared" si="51"/>
        <v>2977.92</v>
      </c>
      <c r="L129" s="6">
        <f t="shared" si="51"/>
        <v>2977.92</v>
      </c>
      <c r="M129" s="6">
        <f t="shared" si="51"/>
        <v>2977.92</v>
      </c>
      <c r="N129" s="6">
        <f t="shared" si="51"/>
        <v>2977.92</v>
      </c>
      <c r="O129" s="6">
        <f t="shared" si="51"/>
        <v>2977.92</v>
      </c>
      <c r="P129" s="6">
        <f t="shared" si="51"/>
        <v>2977.92</v>
      </c>
      <c r="Q129" s="6">
        <f t="shared" si="51"/>
        <v>2977.92</v>
      </c>
      <c r="R129" s="6">
        <f t="shared" si="51"/>
        <v>0</v>
      </c>
      <c r="S129" s="6">
        <f>SUM(S128)</f>
        <v>29779.199999999997</v>
      </c>
    </row>
    <row r="130" spans="2:19" ht="15" x14ac:dyDescent="0.35">
      <c r="B130" s="5" t="s">
        <v>151</v>
      </c>
      <c r="C130" s="5"/>
      <c r="D130" s="5"/>
      <c r="E130" s="3" t="s">
        <v>141</v>
      </c>
      <c r="F130" s="6">
        <v>49191.12</v>
      </c>
      <c r="G130" s="6">
        <f t="shared" ref="G130:R130" si="52">+G122+G127+G129</f>
        <v>0</v>
      </c>
      <c r="H130" s="6">
        <f t="shared" si="52"/>
        <v>4919.1120000000001</v>
      </c>
      <c r="I130" s="6">
        <f t="shared" si="52"/>
        <v>4919.1120000000001</v>
      </c>
      <c r="J130" s="6">
        <f t="shared" si="52"/>
        <v>4919.1120000000001</v>
      </c>
      <c r="K130" s="6">
        <f t="shared" si="52"/>
        <v>4919.1120000000001</v>
      </c>
      <c r="L130" s="6">
        <f t="shared" si="52"/>
        <v>4919.1120000000001</v>
      </c>
      <c r="M130" s="6">
        <f t="shared" si="52"/>
        <v>4919.1120000000001</v>
      </c>
      <c r="N130" s="6">
        <f t="shared" si="52"/>
        <v>4919.1120000000001</v>
      </c>
      <c r="O130" s="6">
        <f t="shared" si="52"/>
        <v>4919.1120000000001</v>
      </c>
      <c r="P130" s="6">
        <f t="shared" si="52"/>
        <v>4919.1120000000001</v>
      </c>
      <c r="Q130" s="6">
        <f t="shared" si="52"/>
        <v>4919.1120000000001</v>
      </c>
      <c r="R130" s="6">
        <f t="shared" si="52"/>
        <v>0</v>
      </c>
      <c r="S130" s="6">
        <f>+S122+S127+S129</f>
        <v>49191.119999999995</v>
      </c>
    </row>
    <row r="132" spans="2:19" x14ac:dyDescent="0.2">
      <c r="B132" s="5" t="s">
        <v>35</v>
      </c>
    </row>
    <row r="133" spans="2:19" ht="15" x14ac:dyDescent="0.35">
      <c r="C133" s="5" t="s">
        <v>11</v>
      </c>
      <c r="D133" s="5"/>
      <c r="E133" s="3" t="s">
        <v>108</v>
      </c>
      <c r="F133" s="6">
        <v>56752.5</v>
      </c>
      <c r="G133" s="6">
        <v>0</v>
      </c>
      <c r="H133" s="6">
        <f>+F133/10</f>
        <v>5675.25</v>
      </c>
      <c r="I133" s="6">
        <f>+H133</f>
        <v>5675.25</v>
      </c>
      <c r="J133" s="6">
        <f t="shared" ref="J133:Q133" si="53">+I133</f>
        <v>5675.25</v>
      </c>
      <c r="K133" s="6">
        <f t="shared" si="53"/>
        <v>5675.25</v>
      </c>
      <c r="L133" s="6">
        <f t="shared" si="53"/>
        <v>5675.25</v>
      </c>
      <c r="M133" s="6">
        <f t="shared" si="53"/>
        <v>5675.25</v>
      </c>
      <c r="N133" s="6">
        <f t="shared" si="53"/>
        <v>5675.25</v>
      </c>
      <c r="O133" s="6">
        <f t="shared" si="53"/>
        <v>5675.25</v>
      </c>
      <c r="P133" s="6">
        <f t="shared" si="53"/>
        <v>5675.25</v>
      </c>
      <c r="Q133" s="6">
        <f t="shared" si="53"/>
        <v>5675.25</v>
      </c>
      <c r="R133" s="6">
        <v>0</v>
      </c>
      <c r="S133" s="6">
        <f>SUM(G133:R133)</f>
        <v>56752.5</v>
      </c>
    </row>
    <row r="135" spans="2:19" x14ac:dyDescent="0.2">
      <c r="B135" s="5" t="s">
        <v>36</v>
      </c>
    </row>
    <row r="136" spans="2:19" ht="15" x14ac:dyDescent="0.35">
      <c r="C136" t="s">
        <v>152</v>
      </c>
      <c r="E136" s="3" t="s">
        <v>135</v>
      </c>
      <c r="F136" s="4">
        <v>35000</v>
      </c>
      <c r="G136" s="4">
        <f>+F136/12</f>
        <v>2916.6666666666665</v>
      </c>
      <c r="H136" s="4">
        <f>+G136</f>
        <v>2916.6666666666665</v>
      </c>
      <c r="I136" s="4">
        <f t="shared" ref="I136:R136" si="54">+H136</f>
        <v>2916.6666666666665</v>
      </c>
      <c r="J136" s="4">
        <f t="shared" si="54"/>
        <v>2916.6666666666665</v>
      </c>
      <c r="K136" s="4">
        <f t="shared" si="54"/>
        <v>2916.6666666666665</v>
      </c>
      <c r="L136" s="4">
        <f t="shared" si="54"/>
        <v>2916.6666666666665</v>
      </c>
      <c r="M136" s="4">
        <f t="shared" si="54"/>
        <v>2916.6666666666665</v>
      </c>
      <c r="N136" s="4">
        <f t="shared" si="54"/>
        <v>2916.6666666666665</v>
      </c>
      <c r="O136" s="4">
        <f t="shared" si="54"/>
        <v>2916.6666666666665</v>
      </c>
      <c r="P136" s="4">
        <f t="shared" si="54"/>
        <v>2916.6666666666665</v>
      </c>
      <c r="Q136" s="4">
        <f t="shared" si="54"/>
        <v>2916.6666666666665</v>
      </c>
      <c r="R136" s="4">
        <f t="shared" si="54"/>
        <v>2916.6666666666665</v>
      </c>
      <c r="S136" s="4">
        <f>SUM(G136:R136)</f>
        <v>35000.000000000007</v>
      </c>
    </row>
    <row r="137" spans="2:19" ht="15" x14ac:dyDescent="0.35">
      <c r="D137" s="5" t="s">
        <v>153</v>
      </c>
      <c r="E137" s="9"/>
      <c r="F137" s="6">
        <v>35000</v>
      </c>
      <c r="G137" s="6">
        <f t="shared" ref="G137:S137" si="55">SUM(G136)</f>
        <v>2916.6666666666665</v>
      </c>
      <c r="H137" s="6">
        <f t="shared" si="55"/>
        <v>2916.6666666666665</v>
      </c>
      <c r="I137" s="6">
        <f t="shared" si="55"/>
        <v>2916.6666666666665</v>
      </c>
      <c r="J137" s="6">
        <f t="shared" si="55"/>
        <v>2916.6666666666665</v>
      </c>
      <c r="K137" s="6">
        <f t="shared" si="55"/>
        <v>2916.6666666666665</v>
      </c>
      <c r="L137" s="6">
        <f t="shared" si="55"/>
        <v>2916.6666666666665</v>
      </c>
      <c r="M137" s="6">
        <f t="shared" si="55"/>
        <v>2916.6666666666665</v>
      </c>
      <c r="N137" s="6">
        <f t="shared" si="55"/>
        <v>2916.6666666666665</v>
      </c>
      <c r="O137" s="6">
        <f t="shared" si="55"/>
        <v>2916.6666666666665</v>
      </c>
      <c r="P137" s="6">
        <f t="shared" si="55"/>
        <v>2916.6666666666665</v>
      </c>
      <c r="Q137" s="6">
        <f t="shared" si="55"/>
        <v>2916.6666666666665</v>
      </c>
      <c r="R137" s="6">
        <f t="shared" si="55"/>
        <v>2916.6666666666665</v>
      </c>
      <c r="S137" s="6">
        <f t="shared" si="55"/>
        <v>35000.000000000007</v>
      </c>
    </row>
    <row r="138" spans="2:19" x14ac:dyDescent="0.2">
      <c r="C138" t="s">
        <v>7</v>
      </c>
      <c r="E138" s="13">
        <v>1.4999999999999999E-2</v>
      </c>
      <c r="F138" s="14">
        <v>525</v>
      </c>
      <c r="G138" s="14">
        <f>+$F138/$F$137*G$137</f>
        <v>43.749999999999993</v>
      </c>
      <c r="H138" s="14">
        <f t="shared" ref="H138:R138" si="56">+$F138/$F$137*H$137</f>
        <v>43.749999999999993</v>
      </c>
      <c r="I138" s="14">
        <f t="shared" si="56"/>
        <v>43.749999999999993</v>
      </c>
      <c r="J138" s="14">
        <f t="shared" si="56"/>
        <v>43.749999999999993</v>
      </c>
      <c r="K138" s="14">
        <f t="shared" si="56"/>
        <v>43.749999999999993</v>
      </c>
      <c r="L138" s="14">
        <f t="shared" si="56"/>
        <v>43.749999999999993</v>
      </c>
      <c r="M138" s="14">
        <f t="shared" si="56"/>
        <v>43.749999999999993</v>
      </c>
      <c r="N138" s="14">
        <f t="shared" si="56"/>
        <v>43.749999999999993</v>
      </c>
      <c r="O138" s="14">
        <f t="shared" si="56"/>
        <v>43.749999999999993</v>
      </c>
      <c r="P138" s="14">
        <f t="shared" si="56"/>
        <v>43.749999999999993</v>
      </c>
      <c r="Q138" s="14">
        <f t="shared" si="56"/>
        <v>43.749999999999993</v>
      </c>
      <c r="R138" s="14">
        <f t="shared" si="56"/>
        <v>43.749999999999993</v>
      </c>
      <c r="S138" s="14">
        <f>SUM(G138:R138)</f>
        <v>524.99999999999989</v>
      </c>
    </row>
    <row r="139" spans="2:19" x14ac:dyDescent="0.2">
      <c r="C139" t="s">
        <v>8</v>
      </c>
      <c r="E139" s="3" t="s">
        <v>52</v>
      </c>
      <c r="F139" s="14">
        <v>3055.5</v>
      </c>
      <c r="G139" s="14">
        <f t="shared" ref="G139:R141" si="57">+$F139/$F$137*G$137</f>
        <v>254.625</v>
      </c>
      <c r="H139" s="14">
        <f t="shared" si="57"/>
        <v>254.625</v>
      </c>
      <c r="I139" s="14">
        <f t="shared" si="57"/>
        <v>254.625</v>
      </c>
      <c r="J139" s="14">
        <f t="shared" si="57"/>
        <v>254.625</v>
      </c>
      <c r="K139" s="14">
        <f t="shared" si="57"/>
        <v>254.625</v>
      </c>
      <c r="L139" s="14">
        <f t="shared" si="57"/>
        <v>254.625</v>
      </c>
      <c r="M139" s="14">
        <f t="shared" si="57"/>
        <v>254.625</v>
      </c>
      <c r="N139" s="14">
        <f t="shared" si="57"/>
        <v>254.625</v>
      </c>
      <c r="O139" s="14">
        <f t="shared" si="57"/>
        <v>254.625</v>
      </c>
      <c r="P139" s="14">
        <f t="shared" si="57"/>
        <v>254.625</v>
      </c>
      <c r="Q139" s="14">
        <f t="shared" si="57"/>
        <v>254.625</v>
      </c>
      <c r="R139" s="14">
        <f t="shared" si="57"/>
        <v>254.625</v>
      </c>
      <c r="S139" s="14">
        <f>SUM(G139:R139)</f>
        <v>3055.5</v>
      </c>
    </row>
    <row r="140" spans="2:19" x14ac:dyDescent="0.2">
      <c r="C140" t="s">
        <v>9</v>
      </c>
      <c r="E140" s="3" t="str">
        <f>CONCATENATE(ins," per month per employee")</f>
        <v>266.666666666666 per month per employee</v>
      </c>
      <c r="F140" s="14">
        <v>3000</v>
      </c>
      <c r="G140" s="14">
        <f t="shared" si="57"/>
        <v>250</v>
      </c>
      <c r="H140" s="14">
        <f t="shared" si="57"/>
        <v>250</v>
      </c>
      <c r="I140" s="14">
        <f t="shared" si="57"/>
        <v>250</v>
      </c>
      <c r="J140" s="14">
        <f t="shared" si="57"/>
        <v>250</v>
      </c>
      <c r="K140" s="14">
        <f t="shared" si="57"/>
        <v>250</v>
      </c>
      <c r="L140" s="14">
        <f t="shared" si="57"/>
        <v>250</v>
      </c>
      <c r="M140" s="14">
        <f t="shared" si="57"/>
        <v>250</v>
      </c>
      <c r="N140" s="14">
        <f t="shared" si="57"/>
        <v>250</v>
      </c>
      <c r="O140" s="14">
        <f t="shared" si="57"/>
        <v>250</v>
      </c>
      <c r="P140" s="14">
        <f t="shared" si="57"/>
        <v>250</v>
      </c>
      <c r="Q140" s="14">
        <f t="shared" si="57"/>
        <v>250</v>
      </c>
      <c r="R140" s="14">
        <f t="shared" si="57"/>
        <v>250</v>
      </c>
      <c r="S140" s="14">
        <f>SUM(G140:R140)</f>
        <v>3000</v>
      </c>
    </row>
    <row r="141" spans="2:19" ht="15" x14ac:dyDescent="0.35">
      <c r="C141" t="s">
        <v>10</v>
      </c>
      <c r="E141" s="11" t="s">
        <v>53</v>
      </c>
      <c r="F141" s="4">
        <v>350</v>
      </c>
      <c r="G141" s="4">
        <f t="shared" si="57"/>
        <v>29.166666666666664</v>
      </c>
      <c r="H141" s="4">
        <f t="shared" si="57"/>
        <v>29.166666666666664</v>
      </c>
      <c r="I141" s="4">
        <f t="shared" si="57"/>
        <v>29.166666666666664</v>
      </c>
      <c r="J141" s="4">
        <f t="shared" si="57"/>
        <v>29.166666666666664</v>
      </c>
      <c r="K141" s="4">
        <f t="shared" si="57"/>
        <v>29.166666666666664</v>
      </c>
      <c r="L141" s="4">
        <f t="shared" si="57"/>
        <v>29.166666666666664</v>
      </c>
      <c r="M141" s="4">
        <f t="shared" si="57"/>
        <v>29.166666666666664</v>
      </c>
      <c r="N141" s="4">
        <f t="shared" si="57"/>
        <v>29.166666666666664</v>
      </c>
      <c r="O141" s="4">
        <f t="shared" si="57"/>
        <v>29.166666666666664</v>
      </c>
      <c r="P141" s="4">
        <f t="shared" si="57"/>
        <v>29.166666666666664</v>
      </c>
      <c r="Q141" s="4">
        <f t="shared" si="57"/>
        <v>29.166666666666664</v>
      </c>
      <c r="R141" s="4">
        <f t="shared" si="57"/>
        <v>29.166666666666664</v>
      </c>
      <c r="S141" s="4">
        <f>SUM(G141:R141)</f>
        <v>350</v>
      </c>
    </row>
    <row r="142" spans="2:19" ht="15" x14ac:dyDescent="0.35">
      <c r="D142" s="5" t="s">
        <v>154</v>
      </c>
      <c r="E142" s="9"/>
      <c r="F142" s="6">
        <v>6930.5</v>
      </c>
      <c r="G142" s="6">
        <f>SUM(G138:G141)</f>
        <v>577.54166666666663</v>
      </c>
      <c r="H142" s="6">
        <f t="shared" ref="H142:S142" si="58">SUM(H138:H141)</f>
        <v>577.54166666666663</v>
      </c>
      <c r="I142" s="6">
        <f t="shared" si="58"/>
        <v>577.54166666666663</v>
      </c>
      <c r="J142" s="6">
        <f t="shared" si="58"/>
        <v>577.54166666666663</v>
      </c>
      <c r="K142" s="6">
        <f t="shared" si="58"/>
        <v>577.54166666666663</v>
      </c>
      <c r="L142" s="6">
        <f t="shared" si="58"/>
        <v>577.54166666666663</v>
      </c>
      <c r="M142" s="6">
        <f t="shared" si="58"/>
        <v>577.54166666666663</v>
      </c>
      <c r="N142" s="6">
        <f t="shared" si="58"/>
        <v>577.54166666666663</v>
      </c>
      <c r="O142" s="6">
        <f t="shared" si="58"/>
        <v>577.54166666666663</v>
      </c>
      <c r="P142" s="6">
        <f t="shared" si="58"/>
        <v>577.54166666666663</v>
      </c>
      <c r="Q142" s="6">
        <f t="shared" si="58"/>
        <v>577.54166666666663</v>
      </c>
      <c r="R142" s="6">
        <f t="shared" si="58"/>
        <v>577.54166666666663</v>
      </c>
      <c r="S142" s="6">
        <f t="shared" si="58"/>
        <v>6930.5</v>
      </c>
    </row>
    <row r="143" spans="2:19" x14ac:dyDescent="0.2">
      <c r="C143" t="s">
        <v>11</v>
      </c>
      <c r="F143" s="14">
        <v>1200</v>
      </c>
      <c r="G143" s="14">
        <f>+F143/12</f>
        <v>100</v>
      </c>
      <c r="H143" s="14">
        <f>+G143</f>
        <v>100</v>
      </c>
      <c r="I143" s="14">
        <f>+H143</f>
        <v>100</v>
      </c>
      <c r="J143" s="14">
        <f t="shared" ref="J143:R143" si="59">+I143</f>
        <v>100</v>
      </c>
      <c r="K143" s="14">
        <f t="shared" si="59"/>
        <v>100</v>
      </c>
      <c r="L143" s="14">
        <f t="shared" si="59"/>
        <v>100</v>
      </c>
      <c r="M143" s="14">
        <f t="shared" si="59"/>
        <v>100</v>
      </c>
      <c r="N143" s="14">
        <f t="shared" si="59"/>
        <v>100</v>
      </c>
      <c r="O143" s="14">
        <f t="shared" si="59"/>
        <v>100</v>
      </c>
      <c r="P143" s="14">
        <f t="shared" si="59"/>
        <v>100</v>
      </c>
      <c r="Q143" s="14">
        <f t="shared" si="59"/>
        <v>100</v>
      </c>
      <c r="R143" s="14">
        <f t="shared" si="59"/>
        <v>100</v>
      </c>
      <c r="S143" s="14">
        <f t="shared" ref="S143:S148" si="60">SUM(G143:R143)</f>
        <v>1200</v>
      </c>
    </row>
    <row r="144" spans="2:19" x14ac:dyDescent="0.2">
      <c r="C144" t="s">
        <v>21</v>
      </c>
      <c r="F144" s="14">
        <v>3000</v>
      </c>
      <c r="G144" s="14">
        <f>+F144</f>
        <v>3000</v>
      </c>
      <c r="H144" s="14">
        <v>0</v>
      </c>
      <c r="I144" s="14">
        <f t="shared" ref="I144:R148" si="61">+H144</f>
        <v>0</v>
      </c>
      <c r="J144" s="14">
        <f t="shared" si="61"/>
        <v>0</v>
      </c>
      <c r="K144" s="14">
        <f t="shared" si="61"/>
        <v>0</v>
      </c>
      <c r="L144" s="14">
        <f t="shared" si="61"/>
        <v>0</v>
      </c>
      <c r="M144" s="14">
        <f t="shared" si="61"/>
        <v>0</v>
      </c>
      <c r="N144" s="14">
        <f t="shared" si="61"/>
        <v>0</v>
      </c>
      <c r="O144" s="14">
        <f t="shared" si="61"/>
        <v>0</v>
      </c>
      <c r="P144" s="14">
        <f t="shared" si="61"/>
        <v>0</v>
      </c>
      <c r="Q144" s="14">
        <f t="shared" si="61"/>
        <v>0</v>
      </c>
      <c r="R144" s="14">
        <f t="shared" si="61"/>
        <v>0</v>
      </c>
      <c r="S144" s="14">
        <f t="shared" si="60"/>
        <v>3000</v>
      </c>
    </row>
    <row r="145" spans="1:19" x14ac:dyDescent="0.2">
      <c r="C145" t="s">
        <v>37</v>
      </c>
      <c r="F145" s="14">
        <v>4800</v>
      </c>
      <c r="G145" s="14">
        <f>+F145/12</f>
        <v>400</v>
      </c>
      <c r="H145" s="14">
        <f>+G145</f>
        <v>400</v>
      </c>
      <c r="I145" s="14">
        <f t="shared" si="61"/>
        <v>400</v>
      </c>
      <c r="J145" s="14">
        <f t="shared" si="61"/>
        <v>400</v>
      </c>
      <c r="K145" s="14">
        <f t="shared" si="61"/>
        <v>400</v>
      </c>
      <c r="L145" s="14">
        <f t="shared" si="61"/>
        <v>400</v>
      </c>
      <c r="M145" s="14">
        <f t="shared" si="61"/>
        <v>400</v>
      </c>
      <c r="N145" s="14">
        <f t="shared" si="61"/>
        <v>400</v>
      </c>
      <c r="O145" s="14">
        <f t="shared" si="61"/>
        <v>400</v>
      </c>
      <c r="P145" s="14">
        <f t="shared" si="61"/>
        <v>400</v>
      </c>
      <c r="Q145" s="14">
        <f t="shared" si="61"/>
        <v>400</v>
      </c>
      <c r="R145" s="14">
        <f t="shared" si="61"/>
        <v>400</v>
      </c>
      <c r="S145" s="14">
        <f t="shared" si="60"/>
        <v>4800</v>
      </c>
    </row>
    <row r="146" spans="1:19" x14ac:dyDescent="0.2">
      <c r="C146" t="s">
        <v>38</v>
      </c>
      <c r="F146" s="14">
        <v>12000</v>
      </c>
      <c r="G146" s="14">
        <f>+F146/12</f>
        <v>1000</v>
      </c>
      <c r="H146" s="14">
        <f>+G146</f>
        <v>1000</v>
      </c>
      <c r="I146" s="14">
        <f t="shared" si="61"/>
        <v>1000</v>
      </c>
      <c r="J146" s="14">
        <f t="shared" si="61"/>
        <v>1000</v>
      </c>
      <c r="K146" s="14">
        <f t="shared" si="61"/>
        <v>1000</v>
      </c>
      <c r="L146" s="14">
        <f t="shared" si="61"/>
        <v>1000</v>
      </c>
      <c r="M146" s="14">
        <f t="shared" si="61"/>
        <v>1000</v>
      </c>
      <c r="N146" s="14">
        <f t="shared" si="61"/>
        <v>1000</v>
      </c>
      <c r="O146" s="14">
        <f t="shared" si="61"/>
        <v>1000</v>
      </c>
      <c r="P146" s="14">
        <f t="shared" si="61"/>
        <v>1000</v>
      </c>
      <c r="Q146" s="14">
        <f t="shared" si="61"/>
        <v>1000</v>
      </c>
      <c r="R146" s="14">
        <f t="shared" si="61"/>
        <v>1000</v>
      </c>
      <c r="S146" s="14">
        <f t="shared" si="60"/>
        <v>12000</v>
      </c>
    </row>
    <row r="147" spans="1:19" x14ac:dyDescent="0.2">
      <c r="C147" t="s">
        <v>13</v>
      </c>
      <c r="F147" s="14">
        <v>1800</v>
      </c>
      <c r="G147" s="14">
        <f>+F147/4</f>
        <v>450</v>
      </c>
      <c r="H147" s="14">
        <f>+(F147-G147)/11</f>
        <v>122.72727272727273</v>
      </c>
      <c r="I147" s="14">
        <f t="shared" si="61"/>
        <v>122.72727272727273</v>
      </c>
      <c r="J147" s="14">
        <f t="shared" si="61"/>
        <v>122.72727272727273</v>
      </c>
      <c r="K147" s="14">
        <f t="shared" si="61"/>
        <v>122.72727272727273</v>
      </c>
      <c r="L147" s="14">
        <f t="shared" si="61"/>
        <v>122.72727272727273</v>
      </c>
      <c r="M147" s="14">
        <f t="shared" si="61"/>
        <v>122.72727272727273</v>
      </c>
      <c r="N147" s="14">
        <f t="shared" si="61"/>
        <v>122.72727272727273</v>
      </c>
      <c r="O147" s="14">
        <f t="shared" si="61"/>
        <v>122.72727272727273</v>
      </c>
      <c r="P147" s="14">
        <f t="shared" si="61"/>
        <v>122.72727272727273</v>
      </c>
      <c r="Q147" s="14">
        <f t="shared" si="61"/>
        <v>122.72727272727273</v>
      </c>
      <c r="R147" s="14">
        <f t="shared" si="61"/>
        <v>122.72727272727273</v>
      </c>
      <c r="S147" s="14">
        <f t="shared" si="60"/>
        <v>1800.0000000000002</v>
      </c>
    </row>
    <row r="148" spans="1:19" ht="15" x14ac:dyDescent="0.35">
      <c r="C148" t="s">
        <v>15</v>
      </c>
      <c r="F148" s="4">
        <v>1000</v>
      </c>
      <c r="G148" s="4">
        <f>+F148/4</f>
        <v>250</v>
      </c>
      <c r="H148" s="4">
        <f>+(F148-G148)/11</f>
        <v>68.181818181818187</v>
      </c>
      <c r="I148" s="4">
        <f t="shared" si="61"/>
        <v>68.181818181818187</v>
      </c>
      <c r="J148" s="4">
        <f t="shared" si="61"/>
        <v>68.181818181818187</v>
      </c>
      <c r="K148" s="4">
        <f t="shared" si="61"/>
        <v>68.181818181818187</v>
      </c>
      <c r="L148" s="4">
        <f t="shared" si="61"/>
        <v>68.181818181818187</v>
      </c>
      <c r="M148" s="4">
        <f t="shared" si="61"/>
        <v>68.181818181818187</v>
      </c>
      <c r="N148" s="4">
        <f t="shared" si="61"/>
        <v>68.181818181818187</v>
      </c>
      <c r="O148" s="4">
        <f t="shared" si="61"/>
        <v>68.181818181818187</v>
      </c>
      <c r="P148" s="4">
        <f t="shared" si="61"/>
        <v>68.181818181818187</v>
      </c>
      <c r="Q148" s="4">
        <f t="shared" si="61"/>
        <v>68.181818181818187</v>
      </c>
      <c r="R148" s="4">
        <f t="shared" si="61"/>
        <v>68.181818181818187</v>
      </c>
      <c r="S148" s="4">
        <f t="shared" si="60"/>
        <v>1000.0000000000005</v>
      </c>
    </row>
    <row r="149" spans="1:19" ht="15" x14ac:dyDescent="0.35">
      <c r="D149" s="5" t="s">
        <v>155</v>
      </c>
      <c r="E149" s="9"/>
      <c r="F149" s="6">
        <v>23800</v>
      </c>
      <c r="G149" s="6">
        <f t="shared" ref="G149:S149" si="62">SUM(G143:G148)</f>
        <v>5200</v>
      </c>
      <c r="H149" s="6">
        <f t="shared" si="62"/>
        <v>1690.909090909091</v>
      </c>
      <c r="I149" s="6">
        <f t="shared" si="62"/>
        <v>1690.909090909091</v>
      </c>
      <c r="J149" s="6">
        <f t="shared" si="62"/>
        <v>1690.909090909091</v>
      </c>
      <c r="K149" s="6">
        <f t="shared" si="62"/>
        <v>1690.909090909091</v>
      </c>
      <c r="L149" s="6">
        <f t="shared" si="62"/>
        <v>1690.909090909091</v>
      </c>
      <c r="M149" s="6">
        <f t="shared" si="62"/>
        <v>1690.909090909091</v>
      </c>
      <c r="N149" s="6">
        <f t="shared" si="62"/>
        <v>1690.909090909091</v>
      </c>
      <c r="O149" s="6">
        <f t="shared" si="62"/>
        <v>1690.909090909091</v>
      </c>
      <c r="P149" s="6">
        <f t="shared" si="62"/>
        <v>1690.909090909091</v>
      </c>
      <c r="Q149" s="6">
        <f t="shared" si="62"/>
        <v>1690.909090909091</v>
      </c>
      <c r="R149" s="6">
        <f t="shared" si="62"/>
        <v>1690.909090909091</v>
      </c>
      <c r="S149" s="6">
        <f t="shared" si="62"/>
        <v>23800</v>
      </c>
    </row>
    <row r="150" spans="1:19" ht="15" x14ac:dyDescent="0.35">
      <c r="A150" s="5"/>
      <c r="B150" s="5" t="s">
        <v>39</v>
      </c>
      <c r="C150" s="5"/>
      <c r="D150" s="5"/>
      <c r="E150" s="9"/>
      <c r="F150" s="6">
        <v>65730.5</v>
      </c>
      <c r="G150" s="6">
        <f t="shared" ref="G150:S150" si="63">+G137+G142+G149</f>
        <v>8694.2083333333321</v>
      </c>
      <c r="H150" s="6">
        <f t="shared" si="63"/>
        <v>5185.117424242424</v>
      </c>
      <c r="I150" s="6">
        <f t="shared" si="63"/>
        <v>5185.117424242424</v>
      </c>
      <c r="J150" s="6">
        <f t="shared" si="63"/>
        <v>5185.117424242424</v>
      </c>
      <c r="K150" s="6">
        <f t="shared" si="63"/>
        <v>5185.117424242424</v>
      </c>
      <c r="L150" s="6">
        <f t="shared" si="63"/>
        <v>5185.117424242424</v>
      </c>
      <c r="M150" s="6">
        <f t="shared" si="63"/>
        <v>5185.117424242424</v>
      </c>
      <c r="N150" s="6">
        <f t="shared" si="63"/>
        <v>5185.117424242424</v>
      </c>
      <c r="O150" s="6">
        <f t="shared" si="63"/>
        <v>5185.117424242424</v>
      </c>
      <c r="P150" s="6">
        <f t="shared" si="63"/>
        <v>5185.117424242424</v>
      </c>
      <c r="Q150" s="6">
        <f t="shared" si="63"/>
        <v>5185.117424242424</v>
      </c>
      <c r="R150" s="6">
        <f t="shared" si="63"/>
        <v>5185.117424242424</v>
      </c>
      <c r="S150" s="6">
        <f t="shared" si="63"/>
        <v>65730.5</v>
      </c>
    </row>
    <row r="151" spans="1:19" ht="15" x14ac:dyDescent="0.35">
      <c r="A151" s="5"/>
      <c r="B151" s="5"/>
      <c r="C151" s="5"/>
      <c r="D151" s="5"/>
      <c r="E151" s="9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</row>
    <row r="152" spans="1:19" ht="15" x14ac:dyDescent="0.35">
      <c r="A152" s="5"/>
      <c r="B152" s="5" t="s">
        <v>81</v>
      </c>
      <c r="C152" s="5"/>
      <c r="D152" s="5"/>
      <c r="E152" s="9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</row>
    <row r="153" spans="1:19" x14ac:dyDescent="0.2">
      <c r="A153" s="5"/>
      <c r="B153" s="5"/>
      <c r="C153" t="s">
        <v>11</v>
      </c>
      <c r="D153" s="5"/>
      <c r="E153" s="9"/>
      <c r="F153" s="14">
        <v>1200</v>
      </c>
      <c r="G153" s="14">
        <f>+F153/12</f>
        <v>100</v>
      </c>
      <c r="H153" s="14">
        <f>+G153</f>
        <v>100</v>
      </c>
      <c r="I153" s="14">
        <f>+H153</f>
        <v>100</v>
      </c>
      <c r="J153" s="14">
        <f>+I153</f>
        <v>100</v>
      </c>
      <c r="K153" s="14">
        <f t="shared" ref="K153:R153" si="64">+J153</f>
        <v>100</v>
      </c>
      <c r="L153" s="14">
        <f t="shared" si="64"/>
        <v>100</v>
      </c>
      <c r="M153" s="14">
        <f t="shared" si="64"/>
        <v>100</v>
      </c>
      <c r="N153" s="14">
        <f t="shared" si="64"/>
        <v>100</v>
      </c>
      <c r="O153" s="14">
        <f t="shared" si="64"/>
        <v>100</v>
      </c>
      <c r="P153" s="14">
        <f t="shared" si="64"/>
        <v>100</v>
      </c>
      <c r="Q153" s="14">
        <f t="shared" si="64"/>
        <v>100</v>
      </c>
      <c r="R153" s="14">
        <f t="shared" si="64"/>
        <v>100</v>
      </c>
      <c r="S153" s="14">
        <f>SUM(G153:R153)</f>
        <v>1200</v>
      </c>
    </row>
    <row r="154" spans="1:19" ht="15" x14ac:dyDescent="0.35">
      <c r="A154" s="5"/>
      <c r="B154" s="5"/>
      <c r="C154" t="s">
        <v>13</v>
      </c>
      <c r="D154" s="5"/>
      <c r="F154" s="10">
        <v>1000</v>
      </c>
      <c r="G154" s="10">
        <f>+F154/4</f>
        <v>250</v>
      </c>
      <c r="H154" s="10">
        <f>+(F154-G154)/11</f>
        <v>68.181818181818187</v>
      </c>
      <c r="I154" s="10">
        <f>+H154</f>
        <v>68.181818181818187</v>
      </c>
      <c r="J154" s="10">
        <f>+I154</f>
        <v>68.181818181818187</v>
      </c>
      <c r="K154" s="10">
        <f t="shared" ref="K154:R154" si="65">+J154</f>
        <v>68.181818181818187</v>
      </c>
      <c r="L154" s="10">
        <f t="shared" si="65"/>
        <v>68.181818181818187</v>
      </c>
      <c r="M154" s="10">
        <f t="shared" si="65"/>
        <v>68.181818181818187</v>
      </c>
      <c r="N154" s="10">
        <f t="shared" si="65"/>
        <v>68.181818181818187</v>
      </c>
      <c r="O154" s="10">
        <f t="shared" si="65"/>
        <v>68.181818181818187</v>
      </c>
      <c r="P154" s="10">
        <f t="shared" si="65"/>
        <v>68.181818181818187</v>
      </c>
      <c r="Q154" s="10">
        <f t="shared" si="65"/>
        <v>68.181818181818187</v>
      </c>
      <c r="R154" s="10">
        <f t="shared" si="65"/>
        <v>68.181818181818187</v>
      </c>
      <c r="S154" s="10">
        <f>SUM(G154:R154)</f>
        <v>1000.0000000000005</v>
      </c>
    </row>
    <row r="155" spans="1:19" ht="15" x14ac:dyDescent="0.35">
      <c r="A155" s="5"/>
      <c r="B155" s="5" t="s">
        <v>82</v>
      </c>
      <c r="C155" s="5"/>
      <c r="D155" s="5"/>
      <c r="E155" s="9"/>
      <c r="F155" s="6">
        <v>2200</v>
      </c>
      <c r="G155" s="6">
        <f t="shared" ref="G155:S155" si="66">SUM(G153:G154)</f>
        <v>350</v>
      </c>
      <c r="H155" s="6">
        <f t="shared" si="66"/>
        <v>168.18181818181819</v>
      </c>
      <c r="I155" s="6">
        <f t="shared" si="66"/>
        <v>168.18181818181819</v>
      </c>
      <c r="J155" s="6">
        <f t="shared" si="66"/>
        <v>168.18181818181819</v>
      </c>
      <c r="K155" s="6">
        <f t="shared" si="66"/>
        <v>168.18181818181819</v>
      </c>
      <c r="L155" s="6">
        <f t="shared" si="66"/>
        <v>168.18181818181819</v>
      </c>
      <c r="M155" s="6">
        <f t="shared" si="66"/>
        <v>168.18181818181819</v>
      </c>
      <c r="N155" s="6">
        <f t="shared" si="66"/>
        <v>168.18181818181819</v>
      </c>
      <c r="O155" s="6">
        <f t="shared" si="66"/>
        <v>168.18181818181819</v>
      </c>
      <c r="P155" s="6">
        <f t="shared" si="66"/>
        <v>168.18181818181819</v>
      </c>
      <c r="Q155" s="6">
        <f t="shared" si="66"/>
        <v>168.18181818181819</v>
      </c>
      <c r="R155" s="6">
        <f t="shared" si="66"/>
        <v>168.18181818181819</v>
      </c>
      <c r="S155" s="6">
        <f t="shared" si="66"/>
        <v>2200.0000000000005</v>
      </c>
    </row>
    <row r="156" spans="1:19" x14ac:dyDescent="0.2">
      <c r="A156" s="5"/>
      <c r="B156" s="5"/>
      <c r="C156" s="5"/>
      <c r="D156" s="5"/>
      <c r="E156" s="9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</row>
    <row r="157" spans="1:19" ht="15" x14ac:dyDescent="0.35">
      <c r="A157" s="5" t="s">
        <v>40</v>
      </c>
      <c r="B157" s="5"/>
      <c r="C157" s="5"/>
      <c r="D157" s="5"/>
      <c r="E157" s="9"/>
      <c r="F157" s="6">
        <v>1295235.4927557684</v>
      </c>
      <c r="G157" s="6">
        <f>SUM(G41,G54,G69,G72,G75,G86,G107,G113,G118,G130,G133,G150,G155)</f>
        <v>136680.31265373642</v>
      </c>
      <c r="H157" s="6">
        <f>SUM(H41,H54,H69,H72,H75,H86,H107,H113,H118,H130,H133,H150,H155)</f>
        <v>106585.37951289481</v>
      </c>
      <c r="I157" s="6">
        <f>SUM(I41,I54,I69,I72,I75,I86,I107,I113,I118,I130,I133,I150,I155)</f>
        <v>106585.37951289481</v>
      </c>
      <c r="J157" s="6">
        <f>SUM(J41,J54,J69,J72,J75,J86,J107,J113,J118,J130,J133,J150,J155)</f>
        <v>106585.37951289481</v>
      </c>
      <c r="K157" s="6">
        <f t="shared" ref="K157:S157" si="67">SUM(K41,K54,K69,K72,K75,K86,K107,K113,K118,K130,K133,K150,K155)</f>
        <v>106585.37951289481</v>
      </c>
      <c r="L157" s="6">
        <f t="shared" si="67"/>
        <v>106918.71284622815</v>
      </c>
      <c r="M157" s="6">
        <f t="shared" si="67"/>
        <v>106585.37951289481</v>
      </c>
      <c r="N157" s="6">
        <f t="shared" si="67"/>
        <v>106585.37951289481</v>
      </c>
      <c r="O157" s="6">
        <f t="shared" si="67"/>
        <v>106585.37951289481</v>
      </c>
      <c r="P157" s="6">
        <f t="shared" si="67"/>
        <v>106585.37951289481</v>
      </c>
      <c r="Q157" s="6">
        <f t="shared" si="67"/>
        <v>106585.37951289481</v>
      </c>
      <c r="R157" s="6">
        <f t="shared" si="67"/>
        <v>92368.051639750425</v>
      </c>
      <c r="S157" s="6">
        <f t="shared" si="67"/>
        <v>1295235.4927557684</v>
      </c>
    </row>
    <row r="159" spans="1:19" s="5" customFormat="1" ht="15" x14ac:dyDescent="0.35">
      <c r="A159" s="5" t="s">
        <v>172</v>
      </c>
      <c r="E159" s="9"/>
      <c r="F159" s="7">
        <v>37869.507244231645</v>
      </c>
      <c r="G159" s="7">
        <f t="shared" ref="G159:S159" si="68">G10+G18-G157</f>
        <v>5365.104012930271</v>
      </c>
      <c r="H159" s="7">
        <f t="shared" si="68"/>
        <v>3297.8684394294105</v>
      </c>
      <c r="I159" s="7">
        <f t="shared" si="68"/>
        <v>5366.63286592855</v>
      </c>
      <c r="J159" s="7">
        <f t="shared" si="68"/>
        <v>7435.3972924276895</v>
      </c>
      <c r="K159" s="7">
        <f t="shared" si="68"/>
        <v>9504.1617189268291</v>
      </c>
      <c r="L159" s="7">
        <f t="shared" si="68"/>
        <v>11239.592812092626</v>
      </c>
      <c r="M159" s="7">
        <f t="shared" si="68"/>
        <v>13308.357238591765</v>
      </c>
      <c r="N159" s="7">
        <f t="shared" si="68"/>
        <v>15377.121665090905</v>
      </c>
      <c r="O159" s="7">
        <f t="shared" si="68"/>
        <v>17445.886091590044</v>
      </c>
      <c r="P159" s="7">
        <f t="shared" si="68"/>
        <v>19514.650518089184</v>
      </c>
      <c r="Q159" s="7">
        <f t="shared" si="68"/>
        <v>21583.414944588323</v>
      </c>
      <c r="R159" s="7">
        <f t="shared" si="68"/>
        <v>37869.507244231849</v>
      </c>
      <c r="S159" s="7">
        <f t="shared" si="68"/>
        <v>37869.507244231412</v>
      </c>
    </row>
  </sheetData>
  <phoneticPr fontId="0" type="noConversion"/>
  <printOptions horizontalCentered="1"/>
  <pageMargins left="0.25" right="0.25" top="0.5" bottom="0.5" header="0" footer="0"/>
  <pageSetup scale="67" orientation="landscape" horizontalDpi="300" verticalDpi="300"/>
  <headerFooter alignWithMargins="0"/>
  <rowBreaks count="2" manualBreakCount="2">
    <brk id="75" max="16383" man="1"/>
    <brk id="13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9"/>
  <sheetViews>
    <sheetView topLeftCell="N138" workbookViewId="0"/>
  </sheetViews>
  <sheetFormatPr defaultColWidth="8.7109375" defaultRowHeight="12.75" x14ac:dyDescent="0.2"/>
  <cols>
    <col min="1" max="3" width="2.7109375" customWidth="1"/>
    <col min="4" max="4" width="33.7109375" customWidth="1"/>
    <col min="5" max="5" width="32.7109375" style="3" hidden="1" customWidth="1"/>
    <col min="6" max="6" width="14" style="14" hidden="1" customWidth="1"/>
    <col min="7" max="7" width="12.42578125" style="14" bestFit="1" customWidth="1"/>
    <col min="8" max="18" width="12.7109375" style="14" bestFit="1" customWidth="1"/>
    <col min="19" max="19" width="14.42578125" style="14" bestFit="1" customWidth="1"/>
  </cols>
  <sheetData>
    <row r="1" spans="1:19" x14ac:dyDescent="0.2">
      <c r="A1" s="19" t="s">
        <v>146</v>
      </c>
      <c r="B1" s="19"/>
      <c r="C1" s="19"/>
      <c r="D1" s="19"/>
      <c r="E1" s="19"/>
      <c r="F1" s="19"/>
      <c r="G1"/>
      <c r="H1"/>
      <c r="I1"/>
      <c r="J1"/>
      <c r="K1"/>
      <c r="L1"/>
      <c r="M1"/>
      <c r="N1"/>
      <c r="O1"/>
      <c r="P1"/>
      <c r="Q1"/>
      <c r="R1"/>
      <c r="S1"/>
    </row>
    <row r="2" spans="1:19" x14ac:dyDescent="0.2">
      <c r="A2" s="19" t="s">
        <v>186</v>
      </c>
      <c r="B2" s="19"/>
      <c r="C2" s="19"/>
      <c r="D2" s="19"/>
      <c r="E2" s="19"/>
      <c r="F2" s="19"/>
      <c r="G2"/>
      <c r="H2"/>
      <c r="I2"/>
      <c r="J2"/>
      <c r="K2"/>
      <c r="L2"/>
      <c r="M2"/>
      <c r="N2"/>
      <c r="O2"/>
      <c r="P2"/>
      <c r="Q2"/>
      <c r="R2"/>
      <c r="S2"/>
    </row>
    <row r="3" spans="1:19" x14ac:dyDescent="0.2">
      <c r="A3" s="19" t="s">
        <v>164</v>
      </c>
      <c r="B3" s="19"/>
      <c r="C3" s="19"/>
      <c r="D3" s="19"/>
      <c r="E3" s="19"/>
      <c r="F3" s="19"/>
      <c r="G3"/>
      <c r="H3"/>
      <c r="I3"/>
      <c r="J3"/>
      <c r="K3"/>
      <c r="L3"/>
      <c r="M3"/>
      <c r="N3"/>
      <c r="O3"/>
      <c r="P3"/>
      <c r="Q3"/>
      <c r="R3"/>
      <c r="S3"/>
    </row>
    <row r="4" spans="1:19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x14ac:dyDescent="0.2">
      <c r="A5" s="9"/>
      <c r="B5" s="9"/>
      <c r="C5" s="9"/>
      <c r="D5" s="9"/>
      <c r="E5" s="12" t="s">
        <v>125</v>
      </c>
      <c r="F5" s="12" t="s">
        <v>59</v>
      </c>
      <c r="G5" s="12" t="s">
        <v>173</v>
      </c>
      <c r="H5" s="12" t="s">
        <v>174</v>
      </c>
      <c r="I5" s="12" t="s">
        <v>175</v>
      </c>
      <c r="J5" s="12" t="s">
        <v>176</v>
      </c>
      <c r="K5" s="12" t="s">
        <v>177</v>
      </c>
      <c r="L5" s="12" t="s">
        <v>178</v>
      </c>
      <c r="M5" s="12" t="s">
        <v>179</v>
      </c>
      <c r="N5" s="12" t="s">
        <v>180</v>
      </c>
      <c r="O5" s="12" t="s">
        <v>181</v>
      </c>
      <c r="P5" s="12" t="s">
        <v>182</v>
      </c>
      <c r="Q5" s="12" t="s">
        <v>183</v>
      </c>
      <c r="R5" s="12" t="s">
        <v>184</v>
      </c>
      <c r="S5" s="12" t="s">
        <v>90</v>
      </c>
    </row>
    <row r="6" spans="1:19" hidden="1" x14ac:dyDescent="0.2">
      <c r="A6" s="9"/>
      <c r="B6" s="9"/>
      <c r="C6" s="9"/>
      <c r="D6" s="9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idden="1" x14ac:dyDescent="0.2">
      <c r="A7" s="5" t="s">
        <v>60</v>
      </c>
      <c r="F7" s="14" t="e">
        <f>+#REF!</f>
        <v>#REF!</v>
      </c>
    </row>
    <row r="8" spans="1:19" hidden="1" x14ac:dyDescent="0.2">
      <c r="A8" s="5"/>
    </row>
    <row r="9" spans="1:19" x14ac:dyDescent="0.2">
      <c r="A9" s="5"/>
    </row>
    <row r="10" spans="1:19" ht="15" x14ac:dyDescent="0.35">
      <c r="A10" s="5" t="s">
        <v>171</v>
      </c>
      <c r="F10" s="6">
        <f>+'Yr1 Cash Flow'!S159</f>
        <v>37869.507244231412</v>
      </c>
      <c r="G10" s="6">
        <f>+F10</f>
        <v>37869.507244231412</v>
      </c>
      <c r="H10" s="6" t="e">
        <f t="shared" ref="H10:R10" si="0">+G159</f>
        <v>#REF!</v>
      </c>
      <c r="I10" s="6" t="e">
        <f t="shared" si="0"/>
        <v>#REF!</v>
      </c>
      <c r="J10" s="6" t="e">
        <f t="shared" si="0"/>
        <v>#REF!</v>
      </c>
      <c r="K10" s="6" t="e">
        <f t="shared" si="0"/>
        <v>#REF!</v>
      </c>
      <c r="L10" s="6" t="e">
        <f t="shared" si="0"/>
        <v>#REF!</v>
      </c>
      <c r="M10" s="6" t="e">
        <f t="shared" si="0"/>
        <v>#REF!</v>
      </c>
      <c r="N10" s="6" t="e">
        <f t="shared" si="0"/>
        <v>#REF!</v>
      </c>
      <c r="O10" s="6" t="e">
        <f t="shared" si="0"/>
        <v>#REF!</v>
      </c>
      <c r="P10" s="6" t="e">
        <f t="shared" si="0"/>
        <v>#REF!</v>
      </c>
      <c r="Q10" s="6" t="e">
        <f t="shared" si="0"/>
        <v>#REF!</v>
      </c>
      <c r="R10" s="6" t="e">
        <f t="shared" si="0"/>
        <v>#REF!</v>
      </c>
      <c r="S10" s="6">
        <f>+G10</f>
        <v>37869.507244231412</v>
      </c>
    </row>
    <row r="11" spans="1:19" x14ac:dyDescent="0.2"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x14ac:dyDescent="0.2">
      <c r="A12" s="5" t="s">
        <v>1</v>
      </c>
    </row>
    <row r="13" spans="1:19" x14ac:dyDescent="0.2">
      <c r="B13" t="s">
        <v>2</v>
      </c>
      <c r="E13" s="3" t="s">
        <v>51</v>
      </c>
      <c r="F13" s="14">
        <v>1319040.5617021278</v>
      </c>
      <c r="G13" s="14">
        <f>+F13/12</f>
        <v>109920.04680851065</v>
      </c>
      <c r="H13" s="14">
        <f t="shared" ref="H13:R13" si="1">+G13</f>
        <v>109920.04680851065</v>
      </c>
      <c r="I13" s="14">
        <f t="shared" si="1"/>
        <v>109920.04680851065</v>
      </c>
      <c r="J13" s="14">
        <f t="shared" si="1"/>
        <v>109920.04680851065</v>
      </c>
      <c r="K13" s="14">
        <f t="shared" si="1"/>
        <v>109920.04680851065</v>
      </c>
      <c r="L13" s="14">
        <f t="shared" si="1"/>
        <v>109920.04680851065</v>
      </c>
      <c r="M13" s="14">
        <f t="shared" si="1"/>
        <v>109920.04680851065</v>
      </c>
      <c r="N13" s="14">
        <f t="shared" si="1"/>
        <v>109920.04680851065</v>
      </c>
      <c r="O13" s="14">
        <f t="shared" si="1"/>
        <v>109920.04680851065</v>
      </c>
      <c r="P13" s="14">
        <f t="shared" si="1"/>
        <v>109920.04680851065</v>
      </c>
      <c r="Q13" s="14">
        <f t="shared" si="1"/>
        <v>109920.04680851065</v>
      </c>
      <c r="R13" s="14">
        <f t="shared" si="1"/>
        <v>109920.04680851065</v>
      </c>
      <c r="S13" s="14">
        <f>SUM(G13:R13)</f>
        <v>1319040.5617021276</v>
      </c>
    </row>
    <row r="14" spans="1:19" x14ac:dyDescent="0.2">
      <c r="B14" t="s">
        <v>65</v>
      </c>
      <c r="F14" s="14">
        <v>87200</v>
      </c>
      <c r="G14" s="14">
        <f>+F14/4</f>
        <v>21800</v>
      </c>
      <c r="H14" s="14">
        <f>(F14-G14)/11</f>
        <v>5945.454545454545</v>
      </c>
      <c r="I14" s="14">
        <f t="shared" ref="I14:R14" si="2">+H14</f>
        <v>5945.454545454545</v>
      </c>
      <c r="J14" s="14">
        <f t="shared" si="2"/>
        <v>5945.454545454545</v>
      </c>
      <c r="K14" s="14">
        <f t="shared" si="2"/>
        <v>5945.454545454545</v>
      </c>
      <c r="L14" s="14">
        <f t="shared" si="2"/>
        <v>5945.454545454545</v>
      </c>
      <c r="M14" s="14">
        <f t="shared" si="2"/>
        <v>5945.454545454545</v>
      </c>
      <c r="N14" s="14">
        <f t="shared" si="2"/>
        <v>5945.454545454545</v>
      </c>
      <c r="O14" s="14">
        <f t="shared" si="2"/>
        <v>5945.454545454545</v>
      </c>
      <c r="P14" s="14">
        <f t="shared" si="2"/>
        <v>5945.454545454545</v>
      </c>
      <c r="Q14" s="14">
        <f t="shared" si="2"/>
        <v>5945.454545454545</v>
      </c>
      <c r="R14" s="14">
        <f t="shared" si="2"/>
        <v>5945.454545454545</v>
      </c>
      <c r="S14" s="14">
        <f>SUM(G14:R14)</f>
        <v>87199.999999999985</v>
      </c>
    </row>
    <row r="15" spans="1:19" hidden="1" x14ac:dyDescent="0.2">
      <c r="B15" t="s">
        <v>88</v>
      </c>
      <c r="F15" s="14">
        <v>0</v>
      </c>
      <c r="S15" s="14">
        <f>SUM(G15:R15)</f>
        <v>0</v>
      </c>
    </row>
    <row r="16" spans="1:19" x14ac:dyDescent="0.2">
      <c r="B16" t="s">
        <v>142</v>
      </c>
      <c r="F16" s="14">
        <v>10281.6</v>
      </c>
      <c r="G16" s="14">
        <v>0</v>
      </c>
      <c r="H16" s="14">
        <v>0</v>
      </c>
      <c r="I16" s="14">
        <f>+F16/10</f>
        <v>1028.1600000000001</v>
      </c>
      <c r="J16" s="14">
        <f t="shared" ref="J16:R16" si="3">+I16</f>
        <v>1028.1600000000001</v>
      </c>
      <c r="K16" s="14">
        <f t="shared" si="3"/>
        <v>1028.1600000000001</v>
      </c>
      <c r="L16" s="14">
        <f t="shared" si="3"/>
        <v>1028.1600000000001</v>
      </c>
      <c r="M16" s="14">
        <f t="shared" si="3"/>
        <v>1028.1600000000001</v>
      </c>
      <c r="N16" s="14">
        <f t="shared" si="3"/>
        <v>1028.1600000000001</v>
      </c>
      <c r="O16" s="14">
        <f t="shared" si="3"/>
        <v>1028.1600000000001</v>
      </c>
      <c r="P16" s="14">
        <f t="shared" si="3"/>
        <v>1028.1600000000001</v>
      </c>
      <c r="Q16" s="14">
        <f t="shared" si="3"/>
        <v>1028.1600000000001</v>
      </c>
      <c r="R16" s="14">
        <f t="shared" si="3"/>
        <v>1028.1600000000001</v>
      </c>
      <c r="S16" s="14">
        <f>SUM(G16:R16)</f>
        <v>10281.6</v>
      </c>
    </row>
    <row r="17" spans="1:19" ht="15" x14ac:dyDescent="0.35">
      <c r="B17" t="s">
        <v>3</v>
      </c>
      <c r="E17" s="3" t="s">
        <v>63</v>
      </c>
      <c r="F17" s="4">
        <v>39984</v>
      </c>
      <c r="G17" s="4">
        <v>0</v>
      </c>
      <c r="H17" s="4">
        <v>0</v>
      </c>
      <c r="I17" s="4">
        <f>+F17/10</f>
        <v>3998.4</v>
      </c>
      <c r="J17" s="4">
        <f t="shared" ref="J17:R17" si="4">+I17</f>
        <v>3998.4</v>
      </c>
      <c r="K17" s="4">
        <f t="shared" si="4"/>
        <v>3998.4</v>
      </c>
      <c r="L17" s="4">
        <f t="shared" si="4"/>
        <v>3998.4</v>
      </c>
      <c r="M17" s="4">
        <f t="shared" si="4"/>
        <v>3998.4</v>
      </c>
      <c r="N17" s="4">
        <f t="shared" si="4"/>
        <v>3998.4</v>
      </c>
      <c r="O17" s="4">
        <f t="shared" si="4"/>
        <v>3998.4</v>
      </c>
      <c r="P17" s="4">
        <f t="shared" si="4"/>
        <v>3998.4</v>
      </c>
      <c r="Q17" s="4">
        <f t="shared" si="4"/>
        <v>3998.4</v>
      </c>
      <c r="R17" s="4">
        <f t="shared" si="4"/>
        <v>3998.4</v>
      </c>
      <c r="S17" s="4">
        <f>SUM(G17:R17)</f>
        <v>39984.000000000007</v>
      </c>
    </row>
    <row r="18" spans="1:19" s="5" customFormat="1" ht="15" x14ac:dyDescent="0.35">
      <c r="A18" s="5" t="s">
        <v>49</v>
      </c>
      <c r="E18" s="9"/>
      <c r="F18" s="6">
        <v>1456506.1617021279</v>
      </c>
      <c r="G18" s="6">
        <f t="shared" ref="G18:S18" si="5">SUM(G13:G17)</f>
        <v>131720.04680851067</v>
      </c>
      <c r="H18" s="6">
        <f t="shared" si="5"/>
        <v>115865.5013539652</v>
      </c>
      <c r="I18" s="6">
        <f t="shared" si="5"/>
        <v>120892.0613539652</v>
      </c>
      <c r="J18" s="6">
        <f t="shared" si="5"/>
        <v>120892.0613539652</v>
      </c>
      <c r="K18" s="6">
        <f t="shared" si="5"/>
        <v>120892.0613539652</v>
      </c>
      <c r="L18" s="6">
        <f t="shared" si="5"/>
        <v>120892.0613539652</v>
      </c>
      <c r="M18" s="6">
        <f t="shared" si="5"/>
        <v>120892.0613539652</v>
      </c>
      <c r="N18" s="6">
        <f t="shared" si="5"/>
        <v>120892.0613539652</v>
      </c>
      <c r="O18" s="6">
        <f t="shared" si="5"/>
        <v>120892.0613539652</v>
      </c>
      <c r="P18" s="6">
        <f t="shared" si="5"/>
        <v>120892.0613539652</v>
      </c>
      <c r="Q18" s="6">
        <f t="shared" si="5"/>
        <v>120892.0613539652</v>
      </c>
      <c r="R18" s="6">
        <f t="shared" si="5"/>
        <v>120892.0613539652</v>
      </c>
      <c r="S18" s="6">
        <f t="shared" si="5"/>
        <v>1456506.1617021277</v>
      </c>
    </row>
    <row r="20" spans="1:19" x14ac:dyDescent="0.2">
      <c r="A20" s="5" t="s">
        <v>4</v>
      </c>
    </row>
    <row r="21" spans="1:19" x14ac:dyDescent="0.2">
      <c r="B21" s="5" t="s">
        <v>5</v>
      </c>
    </row>
    <row r="22" spans="1:19" x14ac:dyDescent="0.2">
      <c r="B22" s="5"/>
      <c r="C22" t="s">
        <v>6</v>
      </c>
      <c r="E22" s="3" t="e">
        <f>CONCATENATE(#REF!+Misc!B5," @ ",Tchr)</f>
        <v>#REF!</v>
      </c>
      <c r="F22" s="14">
        <v>495720</v>
      </c>
      <c r="G22" s="14">
        <f>+F22/12</f>
        <v>41310</v>
      </c>
      <c r="H22" s="14">
        <f t="shared" ref="H22:R22" si="6">+G22</f>
        <v>41310</v>
      </c>
      <c r="I22" s="14">
        <f t="shared" si="6"/>
        <v>41310</v>
      </c>
      <c r="J22" s="14">
        <f t="shared" si="6"/>
        <v>41310</v>
      </c>
      <c r="K22" s="14">
        <f t="shared" si="6"/>
        <v>41310</v>
      </c>
      <c r="L22" s="14">
        <f t="shared" si="6"/>
        <v>41310</v>
      </c>
      <c r="M22" s="14">
        <f t="shared" si="6"/>
        <v>41310</v>
      </c>
      <c r="N22" s="14">
        <f t="shared" si="6"/>
        <v>41310</v>
      </c>
      <c r="O22" s="14">
        <f t="shared" si="6"/>
        <v>41310</v>
      </c>
      <c r="P22" s="14">
        <f t="shared" si="6"/>
        <v>41310</v>
      </c>
      <c r="Q22" s="14">
        <f t="shared" si="6"/>
        <v>41310</v>
      </c>
      <c r="R22" s="14">
        <f t="shared" si="6"/>
        <v>41310</v>
      </c>
      <c r="S22" s="14">
        <f>SUM(G22:R22)</f>
        <v>495720</v>
      </c>
    </row>
    <row r="23" spans="1:19" x14ac:dyDescent="0.2">
      <c r="B23" s="5"/>
      <c r="C23" t="s">
        <v>156</v>
      </c>
      <c r="F23" s="14">
        <v>47980.800000000003</v>
      </c>
      <c r="G23" s="14">
        <v>0</v>
      </c>
      <c r="H23" s="14">
        <f>+F23/10</f>
        <v>4798.08</v>
      </c>
      <c r="I23" s="14">
        <f t="shared" ref="I23:Q23" si="7">+H23</f>
        <v>4798.08</v>
      </c>
      <c r="J23" s="14">
        <f t="shared" si="7"/>
        <v>4798.08</v>
      </c>
      <c r="K23" s="14">
        <f t="shared" si="7"/>
        <v>4798.08</v>
      </c>
      <c r="L23" s="14">
        <f t="shared" si="7"/>
        <v>4798.08</v>
      </c>
      <c r="M23" s="14">
        <f t="shared" si="7"/>
        <v>4798.08</v>
      </c>
      <c r="N23" s="14">
        <f t="shared" si="7"/>
        <v>4798.08</v>
      </c>
      <c r="O23" s="14">
        <f t="shared" si="7"/>
        <v>4798.08</v>
      </c>
      <c r="P23" s="14">
        <f t="shared" si="7"/>
        <v>4798.08</v>
      </c>
      <c r="Q23" s="14">
        <f t="shared" si="7"/>
        <v>4798.08</v>
      </c>
      <c r="R23" s="14">
        <v>0</v>
      </c>
      <c r="S23" s="14">
        <f>SUM(G23:R23)</f>
        <v>47980.80000000001</v>
      </c>
    </row>
    <row r="24" spans="1:19" ht="15" x14ac:dyDescent="0.35">
      <c r="C24" t="s">
        <v>96</v>
      </c>
      <c r="E24" s="3" t="str">
        <f>CONCATENATE(para1," @ ",Misc!B8)</f>
        <v>0 @ 17280</v>
      </c>
      <c r="F24" s="4">
        <v>52876.800000000003</v>
      </c>
      <c r="G24" s="4">
        <v>0</v>
      </c>
      <c r="H24" s="4">
        <f>+F24/10</f>
        <v>5287.68</v>
      </c>
      <c r="I24" s="4">
        <f t="shared" ref="I24:Q24" si="8">+H24</f>
        <v>5287.68</v>
      </c>
      <c r="J24" s="4">
        <f t="shared" si="8"/>
        <v>5287.68</v>
      </c>
      <c r="K24" s="4">
        <f t="shared" si="8"/>
        <v>5287.68</v>
      </c>
      <c r="L24" s="4">
        <f t="shared" si="8"/>
        <v>5287.68</v>
      </c>
      <c r="M24" s="4">
        <f t="shared" si="8"/>
        <v>5287.68</v>
      </c>
      <c r="N24" s="4">
        <f t="shared" si="8"/>
        <v>5287.68</v>
      </c>
      <c r="O24" s="4">
        <f t="shared" si="8"/>
        <v>5287.68</v>
      </c>
      <c r="P24" s="4">
        <f t="shared" si="8"/>
        <v>5287.68</v>
      </c>
      <c r="Q24" s="4">
        <f t="shared" si="8"/>
        <v>5287.68</v>
      </c>
      <c r="R24" s="4">
        <v>0</v>
      </c>
      <c r="S24" s="4">
        <f>SUM(G24:R24)</f>
        <v>52876.800000000003</v>
      </c>
    </row>
    <row r="25" spans="1:19" ht="15" x14ac:dyDescent="0.35">
      <c r="D25" s="5" t="s">
        <v>41</v>
      </c>
      <c r="E25" s="9"/>
      <c r="F25" s="6">
        <v>596577.6</v>
      </c>
      <c r="G25" s="6">
        <f t="shared" ref="G25:S25" si="9">SUM(G22:G24)</f>
        <v>41310</v>
      </c>
      <c r="H25" s="6">
        <f t="shared" si="9"/>
        <v>51395.76</v>
      </c>
      <c r="I25" s="6">
        <f t="shared" si="9"/>
        <v>51395.76</v>
      </c>
      <c r="J25" s="6">
        <f t="shared" si="9"/>
        <v>51395.76</v>
      </c>
      <c r="K25" s="6">
        <f t="shared" si="9"/>
        <v>51395.76</v>
      </c>
      <c r="L25" s="6">
        <f t="shared" si="9"/>
        <v>51395.76</v>
      </c>
      <c r="M25" s="6">
        <f t="shared" si="9"/>
        <v>51395.76</v>
      </c>
      <c r="N25" s="6">
        <f t="shared" si="9"/>
        <v>51395.76</v>
      </c>
      <c r="O25" s="6">
        <f t="shared" si="9"/>
        <v>51395.76</v>
      </c>
      <c r="P25" s="6">
        <f t="shared" si="9"/>
        <v>51395.76</v>
      </c>
      <c r="Q25" s="6">
        <f t="shared" si="9"/>
        <v>51395.76</v>
      </c>
      <c r="R25" s="6">
        <f t="shared" si="9"/>
        <v>41310</v>
      </c>
      <c r="S25" s="6">
        <f t="shared" si="9"/>
        <v>596577.60000000009</v>
      </c>
    </row>
    <row r="26" spans="1:19" x14ac:dyDescent="0.2">
      <c r="C26" t="s">
        <v>7</v>
      </c>
      <c r="E26" s="13">
        <v>1.4999999999999999E-2</v>
      </c>
      <c r="F26" s="14">
        <v>8948.6640000000007</v>
      </c>
      <c r="G26" s="14">
        <f t="shared" ref="G26:R29" si="10">+$F26/$F$25*G$25</f>
        <v>619.65000000000009</v>
      </c>
      <c r="H26" s="14">
        <f t="shared" si="10"/>
        <v>770.93640000000005</v>
      </c>
      <c r="I26" s="14">
        <f t="shared" si="10"/>
        <v>770.93640000000005</v>
      </c>
      <c r="J26" s="14">
        <f t="shared" si="10"/>
        <v>770.93640000000005</v>
      </c>
      <c r="K26" s="14">
        <f t="shared" si="10"/>
        <v>770.93640000000005</v>
      </c>
      <c r="L26" s="14">
        <f t="shared" si="10"/>
        <v>770.93640000000005</v>
      </c>
      <c r="M26" s="14">
        <f t="shared" si="10"/>
        <v>770.93640000000005</v>
      </c>
      <c r="N26" s="14">
        <f t="shared" si="10"/>
        <v>770.93640000000005</v>
      </c>
      <c r="O26" s="14">
        <f t="shared" si="10"/>
        <v>770.93640000000005</v>
      </c>
      <c r="P26" s="14">
        <f t="shared" si="10"/>
        <v>770.93640000000005</v>
      </c>
      <c r="Q26" s="14">
        <f t="shared" si="10"/>
        <v>770.93640000000005</v>
      </c>
      <c r="R26" s="14">
        <f t="shared" si="10"/>
        <v>619.65000000000009</v>
      </c>
      <c r="S26" s="14">
        <f>SUM(G26:R26)</f>
        <v>8948.6640000000025</v>
      </c>
    </row>
    <row r="27" spans="1:19" x14ac:dyDescent="0.2">
      <c r="C27" t="s">
        <v>8</v>
      </c>
      <c r="E27" s="3" t="s">
        <v>52</v>
      </c>
      <c r="F27" s="14">
        <v>49040.186400000006</v>
      </c>
      <c r="G27" s="14">
        <f t="shared" si="10"/>
        <v>3395.7863992613875</v>
      </c>
      <c r="H27" s="14">
        <f t="shared" si="10"/>
        <v>4224.8613601477236</v>
      </c>
      <c r="I27" s="14">
        <f t="shared" si="10"/>
        <v>4224.8613601477236</v>
      </c>
      <c r="J27" s="14">
        <f t="shared" si="10"/>
        <v>4224.8613601477236</v>
      </c>
      <c r="K27" s="14">
        <f t="shared" si="10"/>
        <v>4224.8613601477236</v>
      </c>
      <c r="L27" s="14">
        <f t="shared" si="10"/>
        <v>4224.8613601477236</v>
      </c>
      <c r="M27" s="14">
        <f t="shared" si="10"/>
        <v>4224.8613601477236</v>
      </c>
      <c r="N27" s="14">
        <f t="shared" si="10"/>
        <v>4224.8613601477236</v>
      </c>
      <c r="O27" s="14">
        <f t="shared" si="10"/>
        <v>4224.8613601477236</v>
      </c>
      <c r="P27" s="14">
        <f t="shared" si="10"/>
        <v>4224.8613601477236</v>
      </c>
      <c r="Q27" s="14">
        <f t="shared" si="10"/>
        <v>4224.8613601477236</v>
      </c>
      <c r="R27" s="14">
        <f t="shared" si="10"/>
        <v>3395.7863992613875</v>
      </c>
      <c r="S27" s="14">
        <f>SUM(G27:R27)</f>
        <v>49040.186400000013</v>
      </c>
    </row>
    <row r="28" spans="1:19" x14ac:dyDescent="0.2">
      <c r="C28" t="s">
        <v>9</v>
      </c>
      <c r="E28" s="3" t="str">
        <f>CONCATENATE("$",ins," per month per employee")</f>
        <v>$266.666666666666 per month per employee</v>
      </c>
      <c r="F28" s="14">
        <v>45900</v>
      </c>
      <c r="G28" s="14">
        <f t="shared" si="10"/>
        <v>3178.3442757488715</v>
      </c>
      <c r="H28" s="14">
        <f t="shared" si="10"/>
        <v>3954.3311448502259</v>
      </c>
      <c r="I28" s="14">
        <f t="shared" si="10"/>
        <v>3954.3311448502259</v>
      </c>
      <c r="J28" s="14">
        <f t="shared" si="10"/>
        <v>3954.3311448502259</v>
      </c>
      <c r="K28" s="14">
        <f t="shared" si="10"/>
        <v>3954.3311448502259</v>
      </c>
      <c r="L28" s="14">
        <f t="shared" si="10"/>
        <v>3954.3311448502259</v>
      </c>
      <c r="M28" s="14">
        <f t="shared" si="10"/>
        <v>3954.3311448502259</v>
      </c>
      <c r="N28" s="14">
        <f t="shared" si="10"/>
        <v>3954.3311448502259</v>
      </c>
      <c r="O28" s="14">
        <f t="shared" si="10"/>
        <v>3954.3311448502259</v>
      </c>
      <c r="P28" s="14">
        <f t="shared" si="10"/>
        <v>3954.3311448502259</v>
      </c>
      <c r="Q28" s="14">
        <f t="shared" si="10"/>
        <v>3954.3311448502259</v>
      </c>
      <c r="R28" s="14">
        <f t="shared" si="10"/>
        <v>3178.3442757488715</v>
      </c>
      <c r="S28" s="14">
        <f>SUM(G28:R28)</f>
        <v>45900.000000000007</v>
      </c>
    </row>
    <row r="29" spans="1:19" ht="15" x14ac:dyDescent="0.35">
      <c r="C29" t="s">
        <v>10</v>
      </c>
      <c r="E29" s="11" t="s">
        <v>53</v>
      </c>
      <c r="F29" s="4">
        <v>5965.7760000000007</v>
      </c>
      <c r="G29" s="4">
        <f t="shared" si="10"/>
        <v>413.10000000000008</v>
      </c>
      <c r="H29" s="4">
        <f t="shared" si="10"/>
        <v>513.95760000000007</v>
      </c>
      <c r="I29" s="4">
        <f t="shared" si="10"/>
        <v>513.95760000000007</v>
      </c>
      <c r="J29" s="4">
        <f t="shared" si="10"/>
        <v>513.95760000000007</v>
      </c>
      <c r="K29" s="4">
        <f t="shared" si="10"/>
        <v>513.95760000000007</v>
      </c>
      <c r="L29" s="4">
        <f t="shared" si="10"/>
        <v>513.95760000000007</v>
      </c>
      <c r="M29" s="4">
        <f t="shared" si="10"/>
        <v>513.95760000000007</v>
      </c>
      <c r="N29" s="4">
        <f t="shared" si="10"/>
        <v>513.95760000000007</v>
      </c>
      <c r="O29" s="4">
        <f t="shared" si="10"/>
        <v>513.95760000000007</v>
      </c>
      <c r="P29" s="4">
        <f t="shared" si="10"/>
        <v>513.95760000000007</v>
      </c>
      <c r="Q29" s="4">
        <f t="shared" si="10"/>
        <v>513.95760000000007</v>
      </c>
      <c r="R29" s="4">
        <f t="shared" si="10"/>
        <v>413.10000000000008</v>
      </c>
      <c r="S29" s="4">
        <f>SUM(G29:R29)</f>
        <v>5965.7760000000007</v>
      </c>
    </row>
    <row r="30" spans="1:19" ht="15" x14ac:dyDescent="0.35">
      <c r="D30" s="5" t="s">
        <v>42</v>
      </c>
      <c r="E30" s="9"/>
      <c r="F30" s="6">
        <v>109854.62640000001</v>
      </c>
      <c r="G30" s="6">
        <f t="shared" ref="G30:S30" si="11">SUM(G26:G29)</f>
        <v>7606.8806750102594</v>
      </c>
      <c r="H30" s="6">
        <f t="shared" si="11"/>
        <v>9464.0865049979493</v>
      </c>
      <c r="I30" s="6">
        <f t="shared" si="11"/>
        <v>9464.0865049979493</v>
      </c>
      <c r="J30" s="6">
        <f t="shared" si="11"/>
        <v>9464.0865049979493</v>
      </c>
      <c r="K30" s="6">
        <f t="shared" si="11"/>
        <v>9464.0865049979493</v>
      </c>
      <c r="L30" s="6">
        <f t="shared" si="11"/>
        <v>9464.0865049979493</v>
      </c>
      <c r="M30" s="6">
        <f t="shared" si="11"/>
        <v>9464.0865049979493</v>
      </c>
      <c r="N30" s="6">
        <f t="shared" si="11"/>
        <v>9464.0865049979493</v>
      </c>
      <c r="O30" s="6">
        <f t="shared" si="11"/>
        <v>9464.0865049979493</v>
      </c>
      <c r="P30" s="6">
        <f t="shared" si="11"/>
        <v>9464.0865049979493</v>
      </c>
      <c r="Q30" s="6">
        <f t="shared" si="11"/>
        <v>9464.0865049979493</v>
      </c>
      <c r="R30" s="6">
        <f t="shared" si="11"/>
        <v>7606.8806750102594</v>
      </c>
      <c r="S30" s="6">
        <f t="shared" si="11"/>
        <v>109854.62640000002</v>
      </c>
    </row>
    <row r="31" spans="1:19" x14ac:dyDescent="0.2">
      <c r="C31" t="s">
        <v>11</v>
      </c>
      <c r="E31" s="3" t="s">
        <v>140</v>
      </c>
      <c r="F31" s="14">
        <v>11424</v>
      </c>
      <c r="G31" s="14">
        <v>0</v>
      </c>
      <c r="H31" s="14">
        <f>+F31/10</f>
        <v>1142.4000000000001</v>
      </c>
      <c r="I31" s="14">
        <f t="shared" ref="I31:Q31" si="12">+H31</f>
        <v>1142.4000000000001</v>
      </c>
      <c r="J31" s="14">
        <f t="shared" si="12"/>
        <v>1142.4000000000001</v>
      </c>
      <c r="K31" s="14">
        <f t="shared" si="12"/>
        <v>1142.4000000000001</v>
      </c>
      <c r="L31" s="14">
        <f t="shared" si="12"/>
        <v>1142.4000000000001</v>
      </c>
      <c r="M31" s="14">
        <f t="shared" si="12"/>
        <v>1142.4000000000001</v>
      </c>
      <c r="N31" s="14">
        <f t="shared" si="12"/>
        <v>1142.4000000000001</v>
      </c>
      <c r="O31" s="14">
        <f t="shared" si="12"/>
        <v>1142.4000000000001</v>
      </c>
      <c r="P31" s="14">
        <f t="shared" si="12"/>
        <v>1142.4000000000001</v>
      </c>
      <c r="Q31" s="14">
        <f t="shared" si="12"/>
        <v>1142.4000000000001</v>
      </c>
      <c r="R31" s="14">
        <v>0</v>
      </c>
      <c r="S31" s="14">
        <f t="shared" ref="S31:S39" si="13">SUM(G31:R31)</f>
        <v>11423.999999999998</v>
      </c>
    </row>
    <row r="32" spans="1:19" x14ac:dyDescent="0.2">
      <c r="C32" t="s">
        <v>12</v>
      </c>
      <c r="E32" s="3" t="s">
        <v>54</v>
      </c>
      <c r="F32" s="14">
        <v>1000</v>
      </c>
      <c r="G32" s="14">
        <f>+F32/3</f>
        <v>333.33333333333331</v>
      </c>
      <c r="H32" s="14">
        <v>0</v>
      </c>
      <c r="I32" s="14">
        <v>0</v>
      </c>
      <c r="J32" s="14">
        <v>0</v>
      </c>
      <c r="K32" s="14">
        <v>0</v>
      </c>
      <c r="L32" s="14">
        <f>+G32</f>
        <v>333.33333333333331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f>+G32</f>
        <v>333.33333333333331</v>
      </c>
      <c r="S32" s="14">
        <f t="shared" si="13"/>
        <v>1000</v>
      </c>
    </row>
    <row r="33" spans="2:19" x14ac:dyDescent="0.2">
      <c r="C33" t="s">
        <v>13</v>
      </c>
      <c r="E33" s="3" t="s">
        <v>106</v>
      </c>
      <c r="F33" s="14">
        <v>17136</v>
      </c>
      <c r="G33" s="14">
        <f>+F33/4</f>
        <v>4284</v>
      </c>
      <c r="H33" s="14">
        <f>+(F33-G33)/11</f>
        <v>1168.3636363636363</v>
      </c>
      <c r="I33" s="14">
        <f t="shared" ref="I33:R33" si="14">+H33</f>
        <v>1168.3636363636363</v>
      </c>
      <c r="J33" s="14">
        <f t="shared" si="14"/>
        <v>1168.3636363636363</v>
      </c>
      <c r="K33" s="14">
        <f t="shared" si="14"/>
        <v>1168.3636363636363</v>
      </c>
      <c r="L33" s="14">
        <f t="shared" si="14"/>
        <v>1168.3636363636363</v>
      </c>
      <c r="M33" s="14">
        <f t="shared" si="14"/>
        <v>1168.3636363636363</v>
      </c>
      <c r="N33" s="14">
        <f t="shared" si="14"/>
        <v>1168.3636363636363</v>
      </c>
      <c r="O33" s="14">
        <f t="shared" si="14"/>
        <v>1168.3636363636363</v>
      </c>
      <c r="P33" s="14">
        <f t="shared" si="14"/>
        <v>1168.3636363636363</v>
      </c>
      <c r="Q33" s="14">
        <f t="shared" si="14"/>
        <v>1168.3636363636363</v>
      </c>
      <c r="R33" s="14">
        <f t="shared" si="14"/>
        <v>1168.3636363636363</v>
      </c>
      <c r="S33" s="14">
        <f t="shared" si="13"/>
        <v>17135.999999999996</v>
      </c>
    </row>
    <row r="34" spans="2:19" hidden="1" x14ac:dyDescent="0.2">
      <c r="C34" t="s">
        <v>115</v>
      </c>
      <c r="E34" s="3" t="s">
        <v>137</v>
      </c>
      <c r="F34" s="14">
        <v>0</v>
      </c>
      <c r="G34" s="14">
        <f>+F34/4</f>
        <v>0</v>
      </c>
      <c r="H34" s="14">
        <f>+(F34-G34)/11</f>
        <v>0</v>
      </c>
      <c r="I34" s="14">
        <f t="shared" ref="I34:R34" si="15">+H34</f>
        <v>0</v>
      </c>
      <c r="J34" s="14">
        <f t="shared" si="15"/>
        <v>0</v>
      </c>
      <c r="K34" s="14">
        <f t="shared" si="15"/>
        <v>0</v>
      </c>
      <c r="L34" s="14">
        <f t="shared" si="15"/>
        <v>0</v>
      </c>
      <c r="M34" s="14">
        <f t="shared" si="15"/>
        <v>0</v>
      </c>
      <c r="N34" s="14">
        <f t="shared" si="15"/>
        <v>0</v>
      </c>
      <c r="O34" s="14">
        <f t="shared" si="15"/>
        <v>0</v>
      </c>
      <c r="P34" s="14">
        <f t="shared" si="15"/>
        <v>0</v>
      </c>
      <c r="Q34" s="14">
        <f t="shared" si="15"/>
        <v>0</v>
      </c>
      <c r="R34" s="14">
        <f t="shared" si="15"/>
        <v>0</v>
      </c>
      <c r="S34" s="14">
        <f t="shared" si="13"/>
        <v>0</v>
      </c>
    </row>
    <row r="35" spans="2:19" x14ac:dyDescent="0.2">
      <c r="C35" t="s">
        <v>14</v>
      </c>
      <c r="E35" s="3" t="s">
        <v>68</v>
      </c>
      <c r="F35" s="14">
        <v>41068.040365986628</v>
      </c>
      <c r="G35" s="14" t="e">
        <f>+(Annual!I50-Annual!H50)/4+'Yr1 Cash Flow'!G35</f>
        <v>#REF!</v>
      </c>
      <c r="H35" s="14" t="e">
        <f>(Annual!I50-Annual!H50)/4*3/11+'Yr1 Cash Flow'!G35</f>
        <v>#REF!</v>
      </c>
      <c r="I35" s="14" t="e">
        <f t="shared" ref="I35:R37" si="16">+H35</f>
        <v>#REF!</v>
      </c>
      <c r="J35" s="14" t="e">
        <f t="shared" si="16"/>
        <v>#REF!</v>
      </c>
      <c r="K35" s="14" t="e">
        <f t="shared" si="16"/>
        <v>#REF!</v>
      </c>
      <c r="L35" s="14" t="e">
        <f t="shared" si="16"/>
        <v>#REF!</v>
      </c>
      <c r="M35" s="14" t="e">
        <f t="shared" si="16"/>
        <v>#REF!</v>
      </c>
      <c r="N35" s="14" t="e">
        <f t="shared" si="16"/>
        <v>#REF!</v>
      </c>
      <c r="O35" s="14" t="e">
        <f t="shared" si="16"/>
        <v>#REF!</v>
      </c>
      <c r="P35" s="14" t="e">
        <f t="shared" si="16"/>
        <v>#REF!</v>
      </c>
      <c r="Q35" s="14" t="e">
        <f t="shared" si="16"/>
        <v>#REF!</v>
      </c>
      <c r="R35" s="14" t="e">
        <f t="shared" si="16"/>
        <v>#REF!</v>
      </c>
      <c r="S35" s="14" t="e">
        <f t="shared" si="13"/>
        <v>#REF!</v>
      </c>
    </row>
    <row r="36" spans="2:19" x14ac:dyDescent="0.2">
      <c r="C36" t="s">
        <v>69</v>
      </c>
      <c r="E36" s="3" t="s">
        <v>105</v>
      </c>
      <c r="F36" s="14">
        <v>306</v>
      </c>
      <c r="G36" s="14">
        <f>+F36/4</f>
        <v>76.5</v>
      </c>
      <c r="H36" s="14">
        <f>+(F36-G36)/11</f>
        <v>20.863636363636363</v>
      </c>
      <c r="I36" s="14">
        <f t="shared" ref="I36:R36" si="17">+H36</f>
        <v>20.863636363636363</v>
      </c>
      <c r="J36" s="14">
        <f t="shared" si="17"/>
        <v>20.863636363636363</v>
      </c>
      <c r="K36" s="14">
        <f t="shared" si="17"/>
        <v>20.863636363636363</v>
      </c>
      <c r="L36" s="14">
        <f t="shared" si="17"/>
        <v>20.863636363636363</v>
      </c>
      <c r="M36" s="14">
        <f t="shared" si="17"/>
        <v>20.863636363636363</v>
      </c>
      <c r="N36" s="14">
        <f t="shared" si="17"/>
        <v>20.863636363636363</v>
      </c>
      <c r="O36" s="14">
        <f t="shared" si="17"/>
        <v>20.863636363636363</v>
      </c>
      <c r="P36" s="14">
        <f t="shared" si="17"/>
        <v>20.863636363636363</v>
      </c>
      <c r="Q36" s="14">
        <f t="shared" si="17"/>
        <v>20.863636363636363</v>
      </c>
      <c r="R36" s="14">
        <f t="shared" si="17"/>
        <v>20.863636363636363</v>
      </c>
      <c r="S36" s="14">
        <f t="shared" si="13"/>
        <v>306.00000000000006</v>
      </c>
    </row>
    <row r="37" spans="2:19" x14ac:dyDescent="0.2">
      <c r="C37" t="s">
        <v>15</v>
      </c>
      <c r="E37" s="3" t="s">
        <v>107</v>
      </c>
      <c r="F37" s="14">
        <v>17736.187389781546</v>
      </c>
      <c r="G37" s="14" t="e">
        <f>+(Annual!I52-Annual!H52)/4+'Yr1 Cash Flow'!G37</f>
        <v>#REF!</v>
      </c>
      <c r="H37" s="14" t="e">
        <f>(Annual!I52-Annual!H52)/4*3/11+'Yr1 Cash Flow'!G37</f>
        <v>#REF!</v>
      </c>
      <c r="I37" s="14" t="e">
        <f t="shared" si="16"/>
        <v>#REF!</v>
      </c>
      <c r="J37" s="14" t="e">
        <f t="shared" si="16"/>
        <v>#REF!</v>
      </c>
      <c r="K37" s="14" t="e">
        <f t="shared" si="16"/>
        <v>#REF!</v>
      </c>
      <c r="L37" s="14" t="e">
        <f t="shared" si="16"/>
        <v>#REF!</v>
      </c>
      <c r="M37" s="14" t="e">
        <f t="shared" si="16"/>
        <v>#REF!</v>
      </c>
      <c r="N37" s="14" t="e">
        <f t="shared" si="16"/>
        <v>#REF!</v>
      </c>
      <c r="O37" s="14" t="e">
        <f t="shared" si="16"/>
        <v>#REF!</v>
      </c>
      <c r="P37" s="14" t="e">
        <f t="shared" si="16"/>
        <v>#REF!</v>
      </c>
      <c r="Q37" s="14" t="e">
        <f t="shared" si="16"/>
        <v>#REF!</v>
      </c>
      <c r="R37" s="14" t="e">
        <f t="shared" si="16"/>
        <v>#REF!</v>
      </c>
      <c r="S37" s="14" t="e">
        <f t="shared" si="13"/>
        <v>#REF!</v>
      </c>
    </row>
    <row r="38" spans="2:19" x14ac:dyDescent="0.2">
      <c r="C38" t="s">
        <v>16</v>
      </c>
      <c r="E38" s="3" t="s">
        <v>54</v>
      </c>
      <c r="F38" s="14">
        <v>2550</v>
      </c>
      <c r="G38" s="14">
        <f>+F38/4</f>
        <v>637.5</v>
      </c>
      <c r="H38" s="14">
        <f>+(F38-G38)/11</f>
        <v>173.86363636363637</v>
      </c>
      <c r="I38" s="14">
        <f t="shared" ref="I38:R38" si="18">+H38</f>
        <v>173.86363636363637</v>
      </c>
      <c r="J38" s="14">
        <f t="shared" si="18"/>
        <v>173.86363636363637</v>
      </c>
      <c r="K38" s="14">
        <f t="shared" si="18"/>
        <v>173.86363636363637</v>
      </c>
      <c r="L38" s="14">
        <f t="shared" si="18"/>
        <v>173.86363636363637</v>
      </c>
      <c r="M38" s="14">
        <f t="shared" si="18"/>
        <v>173.86363636363637</v>
      </c>
      <c r="N38" s="14">
        <f t="shared" si="18"/>
        <v>173.86363636363637</v>
      </c>
      <c r="O38" s="14">
        <f t="shared" si="18"/>
        <v>173.86363636363637</v>
      </c>
      <c r="P38" s="14">
        <f t="shared" si="18"/>
        <v>173.86363636363637</v>
      </c>
      <c r="Q38" s="14">
        <f t="shared" si="18"/>
        <v>173.86363636363637</v>
      </c>
      <c r="R38" s="14">
        <f t="shared" si="18"/>
        <v>173.86363636363637</v>
      </c>
      <c r="S38" s="14">
        <f t="shared" si="13"/>
        <v>2550.0000000000009</v>
      </c>
    </row>
    <row r="39" spans="2:19" ht="15" x14ac:dyDescent="0.35">
      <c r="C39" t="s">
        <v>17</v>
      </c>
      <c r="E39" s="3" t="s">
        <v>116</v>
      </c>
      <c r="F39" s="4">
        <v>3672</v>
      </c>
      <c r="G39" s="4">
        <v>0</v>
      </c>
      <c r="H39" s="4">
        <f>+F39/10</f>
        <v>367.2</v>
      </c>
      <c r="I39" s="4">
        <f t="shared" ref="I39:Q39" si="19">+H39</f>
        <v>367.2</v>
      </c>
      <c r="J39" s="4">
        <f t="shared" si="19"/>
        <v>367.2</v>
      </c>
      <c r="K39" s="4">
        <f t="shared" si="19"/>
        <v>367.2</v>
      </c>
      <c r="L39" s="4">
        <f t="shared" si="19"/>
        <v>367.2</v>
      </c>
      <c r="M39" s="4">
        <f t="shared" si="19"/>
        <v>367.2</v>
      </c>
      <c r="N39" s="4">
        <f t="shared" si="19"/>
        <v>367.2</v>
      </c>
      <c r="O39" s="4">
        <f t="shared" si="19"/>
        <v>367.2</v>
      </c>
      <c r="P39" s="4">
        <f t="shared" si="19"/>
        <v>367.2</v>
      </c>
      <c r="Q39" s="4">
        <f t="shared" si="19"/>
        <v>367.2</v>
      </c>
      <c r="R39" s="4">
        <v>0</v>
      </c>
      <c r="S39" s="4">
        <f t="shared" si="13"/>
        <v>3671.9999999999991</v>
      </c>
    </row>
    <row r="40" spans="2:19" ht="15" x14ac:dyDescent="0.35">
      <c r="D40" s="5" t="s">
        <v>43</v>
      </c>
      <c r="E40" s="9"/>
      <c r="F40" s="6">
        <v>94892.227755768166</v>
      </c>
      <c r="G40" s="6" t="e">
        <f t="shared" ref="G40:S40" si="20">SUM(G31:G39)</f>
        <v>#REF!</v>
      </c>
      <c r="H40" s="6" t="e">
        <f t="shared" si="20"/>
        <v>#REF!</v>
      </c>
      <c r="I40" s="6" t="e">
        <f t="shared" si="20"/>
        <v>#REF!</v>
      </c>
      <c r="J40" s="6" t="e">
        <f t="shared" si="20"/>
        <v>#REF!</v>
      </c>
      <c r="K40" s="6" t="e">
        <f t="shared" si="20"/>
        <v>#REF!</v>
      </c>
      <c r="L40" s="6" t="e">
        <f t="shared" si="20"/>
        <v>#REF!</v>
      </c>
      <c r="M40" s="6" t="e">
        <f t="shared" si="20"/>
        <v>#REF!</v>
      </c>
      <c r="N40" s="6" t="e">
        <f t="shared" si="20"/>
        <v>#REF!</v>
      </c>
      <c r="O40" s="6" t="e">
        <f t="shared" si="20"/>
        <v>#REF!</v>
      </c>
      <c r="P40" s="6" t="e">
        <f t="shared" si="20"/>
        <v>#REF!</v>
      </c>
      <c r="Q40" s="6" t="e">
        <f t="shared" si="20"/>
        <v>#REF!</v>
      </c>
      <c r="R40" s="6" t="e">
        <f t="shared" si="20"/>
        <v>#REF!</v>
      </c>
      <c r="S40" s="6" t="e">
        <f t="shared" si="20"/>
        <v>#REF!</v>
      </c>
    </row>
    <row r="41" spans="2:19" ht="15" x14ac:dyDescent="0.35">
      <c r="B41" s="5" t="s">
        <v>18</v>
      </c>
      <c r="C41" s="5"/>
      <c r="D41" s="5"/>
      <c r="E41" s="9"/>
      <c r="F41" s="6">
        <v>801324.45415576827</v>
      </c>
      <c r="G41" s="6" t="e">
        <f t="shared" ref="G41:S41" si="21">SUM(G40,G30,G25)</f>
        <v>#REF!</v>
      </c>
      <c r="H41" s="6" t="e">
        <f t="shared" si="21"/>
        <v>#REF!</v>
      </c>
      <c r="I41" s="6" t="e">
        <f t="shared" si="21"/>
        <v>#REF!</v>
      </c>
      <c r="J41" s="6" t="e">
        <f t="shared" si="21"/>
        <v>#REF!</v>
      </c>
      <c r="K41" s="6" t="e">
        <f t="shared" si="21"/>
        <v>#REF!</v>
      </c>
      <c r="L41" s="6" t="e">
        <f t="shared" si="21"/>
        <v>#REF!</v>
      </c>
      <c r="M41" s="6" t="e">
        <f t="shared" si="21"/>
        <v>#REF!</v>
      </c>
      <c r="N41" s="6" t="e">
        <f t="shared" si="21"/>
        <v>#REF!</v>
      </c>
      <c r="O41" s="6" t="e">
        <f t="shared" si="21"/>
        <v>#REF!</v>
      </c>
      <c r="P41" s="6" t="e">
        <f t="shared" si="21"/>
        <v>#REF!</v>
      </c>
      <c r="Q41" s="6" t="e">
        <f t="shared" si="21"/>
        <v>#REF!</v>
      </c>
      <c r="R41" s="6" t="e">
        <f t="shared" si="21"/>
        <v>#REF!</v>
      </c>
      <c r="S41" s="6" t="e">
        <f t="shared" si="21"/>
        <v>#REF!</v>
      </c>
    </row>
    <row r="43" spans="2:19" hidden="1" x14ac:dyDescent="0.2">
      <c r="B43" s="5" t="s">
        <v>66</v>
      </c>
    </row>
    <row r="44" spans="2:19" ht="15" hidden="1" x14ac:dyDescent="0.35">
      <c r="B44" s="5"/>
      <c r="C44" t="s">
        <v>109</v>
      </c>
      <c r="F44" s="4">
        <v>0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2:19" ht="15" hidden="1" x14ac:dyDescent="0.35">
      <c r="B45" s="5"/>
      <c r="C45" t="s">
        <v>114</v>
      </c>
      <c r="F45" s="4">
        <v>0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2:19" ht="15" hidden="1" x14ac:dyDescent="0.35">
      <c r="B46" s="5"/>
      <c r="D46" s="5" t="s">
        <v>110</v>
      </c>
      <c r="F46" s="6">
        <v>0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</row>
    <row r="47" spans="2:19" hidden="1" x14ac:dyDescent="0.2">
      <c r="B47" s="5"/>
      <c r="C47" t="s">
        <v>7</v>
      </c>
      <c r="E47" s="13">
        <v>1.4999999999999999E-2</v>
      </c>
      <c r="F47" s="14">
        <v>0</v>
      </c>
    </row>
    <row r="48" spans="2:19" hidden="1" x14ac:dyDescent="0.2">
      <c r="B48" s="5"/>
      <c r="C48" t="s">
        <v>8</v>
      </c>
      <c r="E48" s="3" t="s">
        <v>52</v>
      </c>
      <c r="F48" s="14">
        <v>0</v>
      </c>
    </row>
    <row r="49" spans="2:19" hidden="1" x14ac:dyDescent="0.2">
      <c r="B49" s="5"/>
      <c r="C49" t="s">
        <v>9</v>
      </c>
      <c r="E49" s="3" t="str">
        <f>CONCATENATE(ins," per month per employee")</f>
        <v>266.666666666666 per month per employee</v>
      </c>
      <c r="F49" s="14">
        <v>0</v>
      </c>
    </row>
    <row r="50" spans="2:19" ht="15" hidden="1" x14ac:dyDescent="0.35">
      <c r="B50" s="5"/>
      <c r="C50" t="s">
        <v>10</v>
      </c>
      <c r="E50" s="11" t="s">
        <v>53</v>
      </c>
      <c r="F50" s="4">
        <v>0</v>
      </c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2:19" ht="15" hidden="1" x14ac:dyDescent="0.35">
      <c r="B51" s="5"/>
      <c r="D51" s="5" t="s">
        <v>111</v>
      </c>
      <c r="F51" s="6">
        <v>0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</row>
    <row r="52" spans="2:19" ht="15" hidden="1" x14ac:dyDescent="0.35">
      <c r="B52" s="5"/>
      <c r="C52" t="s">
        <v>13</v>
      </c>
      <c r="E52" s="3" t="s">
        <v>72</v>
      </c>
      <c r="F52" s="4">
        <v>0</v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2:19" ht="15" hidden="1" x14ac:dyDescent="0.35">
      <c r="B53" s="5"/>
      <c r="D53" s="5" t="s">
        <v>112</v>
      </c>
      <c r="F53" s="6">
        <v>0</v>
      </c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</row>
    <row r="54" spans="2:19" ht="15" hidden="1" x14ac:dyDescent="0.35">
      <c r="B54" s="5" t="s">
        <v>84</v>
      </c>
      <c r="F54" s="6">
        <v>0</v>
      </c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2:19" ht="15" hidden="1" x14ac:dyDescent="0.35">
      <c r="B55" s="5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2:19" hidden="1" x14ac:dyDescent="0.2">
      <c r="B56" s="5" t="s">
        <v>117</v>
      </c>
    </row>
    <row r="57" spans="2:19" ht="15" hidden="1" x14ac:dyDescent="0.35">
      <c r="B57" s="5"/>
      <c r="C57" t="s">
        <v>118</v>
      </c>
      <c r="F57" s="4">
        <v>0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2:19" ht="15" hidden="1" x14ac:dyDescent="0.35">
      <c r="B58" s="5"/>
      <c r="C58" t="s">
        <v>114</v>
      </c>
      <c r="F58" s="4">
        <v>0</v>
      </c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2:19" ht="15" hidden="1" x14ac:dyDescent="0.35">
      <c r="B59" s="5"/>
      <c r="D59" s="5" t="s">
        <v>121</v>
      </c>
      <c r="F59" s="6">
        <v>0</v>
      </c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</row>
    <row r="60" spans="2:19" hidden="1" x14ac:dyDescent="0.2">
      <c r="B60" s="5"/>
      <c r="C60" t="s">
        <v>7</v>
      </c>
      <c r="E60" s="13">
        <v>1.4999999999999999E-2</v>
      </c>
      <c r="F60" s="14">
        <v>0</v>
      </c>
    </row>
    <row r="61" spans="2:19" hidden="1" x14ac:dyDescent="0.2">
      <c r="B61" s="5"/>
      <c r="C61" t="s">
        <v>8</v>
      </c>
      <c r="E61" s="3" t="s">
        <v>52</v>
      </c>
      <c r="F61" s="14">
        <v>0</v>
      </c>
    </row>
    <row r="62" spans="2:19" hidden="1" x14ac:dyDescent="0.2">
      <c r="B62" s="5"/>
      <c r="C62" t="s">
        <v>9</v>
      </c>
      <c r="E62" s="3" t="str">
        <f>CONCATENATE(ins," per month per employee")</f>
        <v>266.666666666666 per month per employee</v>
      </c>
      <c r="F62" s="14">
        <v>0</v>
      </c>
    </row>
    <row r="63" spans="2:19" ht="15" hidden="1" x14ac:dyDescent="0.35">
      <c r="B63" s="5"/>
      <c r="C63" t="s">
        <v>10</v>
      </c>
      <c r="E63" s="11" t="s">
        <v>53</v>
      </c>
      <c r="F63" s="4">
        <v>0</v>
      </c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2:19" ht="15" hidden="1" x14ac:dyDescent="0.35">
      <c r="B64" s="5"/>
      <c r="D64" s="5" t="s">
        <v>122</v>
      </c>
      <c r="F64" s="6">
        <v>0</v>
      </c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2:19" hidden="1" x14ac:dyDescent="0.2">
      <c r="B65" s="5"/>
      <c r="C65" t="s">
        <v>13</v>
      </c>
      <c r="D65" s="5"/>
      <c r="F65" s="14">
        <v>0</v>
      </c>
    </row>
    <row r="66" spans="2:19" hidden="1" x14ac:dyDescent="0.2">
      <c r="B66" s="5"/>
      <c r="C66" t="s">
        <v>120</v>
      </c>
      <c r="D66" s="5"/>
      <c r="F66" s="14">
        <v>0</v>
      </c>
    </row>
    <row r="67" spans="2:19" ht="15" hidden="1" x14ac:dyDescent="0.35">
      <c r="B67" s="5"/>
      <c r="C67" t="s">
        <v>119</v>
      </c>
      <c r="F67" s="4">
        <v>0</v>
      </c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2:19" ht="15" hidden="1" x14ac:dyDescent="0.35">
      <c r="B68" s="5"/>
      <c r="D68" s="5" t="s">
        <v>123</v>
      </c>
      <c r="F68" s="6">
        <v>0</v>
      </c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</row>
    <row r="69" spans="2:19" ht="15" hidden="1" x14ac:dyDescent="0.35">
      <c r="B69" s="5" t="s">
        <v>124</v>
      </c>
      <c r="F69" s="6">
        <v>0</v>
      </c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</row>
    <row r="70" spans="2:19" hidden="1" x14ac:dyDescent="0.2"/>
    <row r="71" spans="2:19" hidden="1" x14ac:dyDescent="0.2">
      <c r="B71" s="5" t="s">
        <v>91</v>
      </c>
    </row>
    <row r="72" spans="2:19" ht="15" hidden="1" x14ac:dyDescent="0.35">
      <c r="C72" s="5" t="s">
        <v>11</v>
      </c>
      <c r="D72" s="5"/>
      <c r="E72" s="3" t="s">
        <v>54</v>
      </c>
      <c r="F72" s="6">
        <v>0</v>
      </c>
      <c r="G72" s="6">
        <f>+F72</f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f>SUM(G72:R72)</f>
        <v>0</v>
      </c>
    </row>
    <row r="73" spans="2:19" hidden="1" x14ac:dyDescent="0.2"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</row>
    <row r="74" spans="2:19" x14ac:dyDescent="0.2">
      <c r="B74" s="5" t="s">
        <v>19</v>
      </c>
    </row>
    <row r="75" spans="2:19" ht="15" x14ac:dyDescent="0.35">
      <c r="C75" s="5" t="s">
        <v>11</v>
      </c>
      <c r="D75" s="5"/>
      <c r="E75" s="3" t="s">
        <v>54</v>
      </c>
      <c r="F75" s="6">
        <v>7650</v>
      </c>
      <c r="G75" s="6">
        <f>+F75</f>
        <v>7650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f>SUM(G75:R75)</f>
        <v>7650</v>
      </c>
    </row>
    <row r="77" spans="2:19" x14ac:dyDescent="0.2">
      <c r="B77" s="5" t="s">
        <v>24</v>
      </c>
    </row>
    <row r="78" spans="2:19" x14ac:dyDescent="0.2">
      <c r="C78" t="s">
        <v>20</v>
      </c>
      <c r="E78" s="3" t="s">
        <v>54</v>
      </c>
      <c r="F78" s="14">
        <v>2000</v>
      </c>
      <c r="G78" s="14">
        <f>+F78/12</f>
        <v>166.66666666666666</v>
      </c>
      <c r="H78" s="14">
        <f>+G78</f>
        <v>166.66666666666666</v>
      </c>
      <c r="I78" s="14">
        <f t="shared" ref="I78:R78" si="22">+H78</f>
        <v>166.66666666666666</v>
      </c>
      <c r="J78" s="14">
        <f t="shared" si="22"/>
        <v>166.66666666666666</v>
      </c>
      <c r="K78" s="14">
        <f t="shared" si="22"/>
        <v>166.66666666666666</v>
      </c>
      <c r="L78" s="14">
        <f t="shared" si="22"/>
        <v>166.66666666666666</v>
      </c>
      <c r="M78" s="14">
        <f t="shared" si="22"/>
        <v>166.66666666666666</v>
      </c>
      <c r="N78" s="14">
        <f t="shared" si="22"/>
        <v>166.66666666666666</v>
      </c>
      <c r="O78" s="14">
        <f t="shared" si="22"/>
        <v>166.66666666666666</v>
      </c>
      <c r="P78" s="14">
        <f t="shared" si="22"/>
        <v>166.66666666666666</v>
      </c>
      <c r="Q78" s="14">
        <f t="shared" si="22"/>
        <v>166.66666666666666</v>
      </c>
      <c r="R78" s="14">
        <f t="shared" si="22"/>
        <v>166.66666666666666</v>
      </c>
      <c r="S78" s="14">
        <f t="shared" ref="S78:S85" si="23">SUM(G78:R78)</f>
        <v>2000.0000000000002</v>
      </c>
    </row>
    <row r="79" spans="2:19" x14ac:dyDescent="0.2">
      <c r="C79" t="s">
        <v>157</v>
      </c>
      <c r="E79" s="3" t="s">
        <v>54</v>
      </c>
      <c r="F79" s="14">
        <v>131904.05617021277</v>
      </c>
      <c r="G79" s="14">
        <f>+F79/12</f>
        <v>10992.004680851065</v>
      </c>
      <c r="H79" s="14">
        <f t="shared" ref="H79:R79" si="24">+G79</f>
        <v>10992.004680851065</v>
      </c>
      <c r="I79" s="14">
        <f t="shared" si="24"/>
        <v>10992.004680851065</v>
      </c>
      <c r="J79" s="14">
        <f t="shared" si="24"/>
        <v>10992.004680851065</v>
      </c>
      <c r="K79" s="14">
        <f t="shared" si="24"/>
        <v>10992.004680851065</v>
      </c>
      <c r="L79" s="14">
        <f t="shared" si="24"/>
        <v>10992.004680851065</v>
      </c>
      <c r="M79" s="14">
        <f t="shared" si="24"/>
        <v>10992.004680851065</v>
      </c>
      <c r="N79" s="14">
        <f t="shared" si="24"/>
        <v>10992.004680851065</v>
      </c>
      <c r="O79" s="14">
        <f t="shared" si="24"/>
        <v>10992.004680851065</v>
      </c>
      <c r="P79" s="14">
        <f t="shared" si="24"/>
        <v>10992.004680851065</v>
      </c>
      <c r="Q79" s="14">
        <f t="shared" si="24"/>
        <v>10992.004680851065</v>
      </c>
      <c r="R79" s="14">
        <f t="shared" si="24"/>
        <v>10992.004680851065</v>
      </c>
      <c r="S79" s="14">
        <f t="shared" si="23"/>
        <v>131904.05617021277</v>
      </c>
    </row>
    <row r="80" spans="2:19" x14ac:dyDescent="0.2">
      <c r="C80" t="s">
        <v>76</v>
      </c>
      <c r="E80" s="3" t="s">
        <v>54</v>
      </c>
      <c r="F80" s="14">
        <v>9180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f>+F80</f>
        <v>9180</v>
      </c>
      <c r="S80" s="14">
        <f t="shared" si="23"/>
        <v>9180</v>
      </c>
    </row>
    <row r="81" spans="2:19" hidden="1" x14ac:dyDescent="0.2">
      <c r="C81" t="s">
        <v>93</v>
      </c>
      <c r="E81" s="3" t="s">
        <v>54</v>
      </c>
      <c r="F81" s="14">
        <v>0</v>
      </c>
      <c r="G81" s="14">
        <f>+F81</f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f t="shared" si="23"/>
        <v>0</v>
      </c>
    </row>
    <row r="82" spans="2:19" x14ac:dyDescent="0.2">
      <c r="C82" t="s">
        <v>12</v>
      </c>
      <c r="E82" s="3" t="s">
        <v>54</v>
      </c>
      <c r="F82" s="14">
        <v>4080</v>
      </c>
      <c r="G82" s="14">
        <f>+F82/12</f>
        <v>340</v>
      </c>
      <c r="H82" s="14">
        <f>+G82</f>
        <v>340</v>
      </c>
      <c r="I82" s="14">
        <f t="shared" ref="I82:R82" si="25">+H82</f>
        <v>340</v>
      </c>
      <c r="J82" s="14">
        <f t="shared" si="25"/>
        <v>340</v>
      </c>
      <c r="K82" s="14">
        <f t="shared" si="25"/>
        <v>340</v>
      </c>
      <c r="L82" s="14">
        <f t="shared" si="25"/>
        <v>340</v>
      </c>
      <c r="M82" s="14">
        <f t="shared" si="25"/>
        <v>340</v>
      </c>
      <c r="N82" s="14">
        <f t="shared" si="25"/>
        <v>340</v>
      </c>
      <c r="O82" s="14">
        <f t="shared" si="25"/>
        <v>340</v>
      </c>
      <c r="P82" s="14">
        <f t="shared" si="25"/>
        <v>340</v>
      </c>
      <c r="Q82" s="14">
        <f t="shared" si="25"/>
        <v>340</v>
      </c>
      <c r="R82" s="14">
        <f t="shared" si="25"/>
        <v>340</v>
      </c>
      <c r="S82" s="14">
        <f t="shared" si="23"/>
        <v>4080</v>
      </c>
    </row>
    <row r="83" spans="2:19" x14ac:dyDescent="0.2">
      <c r="C83" t="s">
        <v>21</v>
      </c>
      <c r="E83" s="3" t="s">
        <v>54</v>
      </c>
      <c r="F83" s="14">
        <v>9180</v>
      </c>
      <c r="G83" s="14">
        <f>+F83</f>
        <v>9180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f t="shared" si="23"/>
        <v>9180</v>
      </c>
    </row>
    <row r="84" spans="2:19" x14ac:dyDescent="0.2">
      <c r="C84" t="s">
        <v>22</v>
      </c>
      <c r="F84" s="14">
        <v>65952.028085106387</v>
      </c>
      <c r="G84" s="14">
        <f>+F84/12</f>
        <v>5496.0023404255326</v>
      </c>
      <c r="H84" s="14">
        <f t="shared" ref="H84:R84" si="26">+G84</f>
        <v>5496.0023404255326</v>
      </c>
      <c r="I84" s="14">
        <f t="shared" si="26"/>
        <v>5496.0023404255326</v>
      </c>
      <c r="J84" s="14">
        <f t="shared" si="26"/>
        <v>5496.0023404255326</v>
      </c>
      <c r="K84" s="14">
        <f t="shared" si="26"/>
        <v>5496.0023404255326</v>
      </c>
      <c r="L84" s="14">
        <f t="shared" si="26"/>
        <v>5496.0023404255326</v>
      </c>
      <c r="M84" s="14">
        <f t="shared" si="26"/>
        <v>5496.0023404255326</v>
      </c>
      <c r="N84" s="14">
        <f t="shared" si="26"/>
        <v>5496.0023404255326</v>
      </c>
      <c r="O84" s="14">
        <f t="shared" si="26"/>
        <v>5496.0023404255326</v>
      </c>
      <c r="P84" s="14">
        <f t="shared" si="26"/>
        <v>5496.0023404255326</v>
      </c>
      <c r="Q84" s="14">
        <f t="shared" si="26"/>
        <v>5496.0023404255326</v>
      </c>
      <c r="R84" s="14">
        <f t="shared" si="26"/>
        <v>5496.0023404255326</v>
      </c>
      <c r="S84" s="14">
        <f t="shared" si="23"/>
        <v>65952.028085106387</v>
      </c>
    </row>
    <row r="85" spans="2:19" ht="15" x14ac:dyDescent="0.35">
      <c r="C85" t="s">
        <v>92</v>
      </c>
      <c r="E85" s="16">
        <v>0.03</v>
      </c>
      <c r="F85" s="4">
        <v>2616</v>
      </c>
      <c r="G85" s="4">
        <f>+$F85/$F14*G14</f>
        <v>654</v>
      </c>
      <c r="H85" s="4">
        <f t="shared" ref="H85:R85" si="27">+$F85/$F14*H14</f>
        <v>178.36363636363635</v>
      </c>
      <c r="I85" s="4">
        <f t="shared" si="27"/>
        <v>178.36363636363635</v>
      </c>
      <c r="J85" s="4">
        <f t="shared" si="27"/>
        <v>178.36363636363635</v>
      </c>
      <c r="K85" s="4">
        <f t="shared" si="27"/>
        <v>178.36363636363635</v>
      </c>
      <c r="L85" s="4">
        <f t="shared" si="27"/>
        <v>178.36363636363635</v>
      </c>
      <c r="M85" s="4">
        <f t="shared" si="27"/>
        <v>178.36363636363635</v>
      </c>
      <c r="N85" s="4">
        <f t="shared" si="27"/>
        <v>178.36363636363635</v>
      </c>
      <c r="O85" s="4">
        <f t="shared" si="27"/>
        <v>178.36363636363635</v>
      </c>
      <c r="P85" s="4">
        <f t="shared" si="27"/>
        <v>178.36363636363635</v>
      </c>
      <c r="Q85" s="4">
        <f t="shared" si="27"/>
        <v>178.36363636363635</v>
      </c>
      <c r="R85" s="4">
        <f t="shared" si="27"/>
        <v>178.36363636363635</v>
      </c>
      <c r="S85" s="4">
        <f t="shared" si="23"/>
        <v>2616</v>
      </c>
    </row>
    <row r="86" spans="2:19" ht="15" x14ac:dyDescent="0.35">
      <c r="B86" s="5" t="s">
        <v>23</v>
      </c>
      <c r="C86" s="5"/>
      <c r="D86" s="5"/>
      <c r="E86" s="9"/>
      <c r="F86" s="6">
        <v>224912.08425531915</v>
      </c>
      <c r="G86" s="6">
        <f t="shared" ref="G86:S86" si="28">SUM(G78:G85)</f>
        <v>26828.673687943265</v>
      </c>
      <c r="H86" s="6">
        <f t="shared" si="28"/>
        <v>17173.037324306901</v>
      </c>
      <c r="I86" s="6">
        <f t="shared" si="28"/>
        <v>17173.037324306901</v>
      </c>
      <c r="J86" s="6">
        <f t="shared" si="28"/>
        <v>17173.037324306901</v>
      </c>
      <c r="K86" s="6">
        <f t="shared" si="28"/>
        <v>17173.037324306901</v>
      </c>
      <c r="L86" s="6">
        <f t="shared" si="28"/>
        <v>17173.037324306901</v>
      </c>
      <c r="M86" s="6">
        <f t="shared" si="28"/>
        <v>17173.037324306901</v>
      </c>
      <c r="N86" s="6">
        <f t="shared" si="28"/>
        <v>17173.037324306901</v>
      </c>
      <c r="O86" s="6">
        <f t="shared" si="28"/>
        <v>17173.037324306901</v>
      </c>
      <c r="P86" s="6">
        <f t="shared" si="28"/>
        <v>17173.037324306901</v>
      </c>
      <c r="Q86" s="6">
        <f t="shared" si="28"/>
        <v>17173.037324306901</v>
      </c>
      <c r="R86" s="6">
        <f t="shared" si="28"/>
        <v>26353.037324306901</v>
      </c>
      <c r="S86" s="6">
        <f t="shared" si="28"/>
        <v>224912.08425531915</v>
      </c>
    </row>
    <row r="87" spans="2:19" x14ac:dyDescent="0.2"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2:19" x14ac:dyDescent="0.2">
      <c r="B88" s="5" t="s">
        <v>26</v>
      </c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2:19" x14ac:dyDescent="0.2">
      <c r="C89" t="s">
        <v>131</v>
      </c>
      <c r="E89" s="3" t="s">
        <v>135</v>
      </c>
      <c r="F89" s="14">
        <v>76500</v>
      </c>
      <c r="G89" s="14">
        <f>+F89/12</f>
        <v>6375</v>
      </c>
      <c r="H89" s="14">
        <f>+G89</f>
        <v>6375</v>
      </c>
      <c r="I89" s="14">
        <f t="shared" ref="I89:R89" si="29">+H89</f>
        <v>6375</v>
      </c>
      <c r="J89" s="14">
        <f t="shared" si="29"/>
        <v>6375</v>
      </c>
      <c r="K89" s="14">
        <f t="shared" si="29"/>
        <v>6375</v>
      </c>
      <c r="L89" s="14">
        <f t="shared" si="29"/>
        <v>6375</v>
      </c>
      <c r="M89" s="14">
        <f t="shared" si="29"/>
        <v>6375</v>
      </c>
      <c r="N89" s="14">
        <f t="shared" si="29"/>
        <v>6375</v>
      </c>
      <c r="O89" s="14">
        <f t="shared" si="29"/>
        <v>6375</v>
      </c>
      <c r="P89" s="14">
        <f t="shared" si="29"/>
        <v>6375</v>
      </c>
      <c r="Q89" s="14">
        <f t="shared" si="29"/>
        <v>6375</v>
      </c>
      <c r="R89" s="14">
        <f t="shared" si="29"/>
        <v>6375</v>
      </c>
      <c r="S89" s="14">
        <f>SUM(G89:R89)</f>
        <v>76500</v>
      </c>
    </row>
    <row r="90" spans="2:19" hidden="1" x14ac:dyDescent="0.2">
      <c r="C90" t="s">
        <v>132</v>
      </c>
      <c r="E90" s="3" t="s">
        <v>145</v>
      </c>
      <c r="F90" s="14">
        <v>0</v>
      </c>
      <c r="S90" s="14">
        <f>SUM(G90:R90)</f>
        <v>0</v>
      </c>
    </row>
    <row r="91" spans="2:19" ht="15" hidden="1" x14ac:dyDescent="0.35">
      <c r="C91" t="s">
        <v>133</v>
      </c>
      <c r="E91" s="3" t="s">
        <v>136</v>
      </c>
      <c r="F91" s="14">
        <v>0</v>
      </c>
      <c r="S91" s="4">
        <f>SUM(G91:R91)</f>
        <v>0</v>
      </c>
    </row>
    <row r="92" spans="2:19" ht="15" x14ac:dyDescent="0.35">
      <c r="C92" t="s">
        <v>134</v>
      </c>
      <c r="E92" s="3" t="s">
        <v>135</v>
      </c>
      <c r="F92" s="4">
        <v>31824</v>
      </c>
      <c r="G92" s="4">
        <f>+F92/12</f>
        <v>2652</v>
      </c>
      <c r="H92" s="4">
        <f>+G92</f>
        <v>2652</v>
      </c>
      <c r="I92" s="4">
        <f t="shared" ref="I92:R92" si="30">+H92</f>
        <v>2652</v>
      </c>
      <c r="J92" s="4">
        <f t="shared" si="30"/>
        <v>2652</v>
      </c>
      <c r="K92" s="4">
        <f t="shared" si="30"/>
        <v>2652</v>
      </c>
      <c r="L92" s="4">
        <f t="shared" si="30"/>
        <v>2652</v>
      </c>
      <c r="M92" s="4">
        <f t="shared" si="30"/>
        <v>2652</v>
      </c>
      <c r="N92" s="4">
        <f t="shared" si="30"/>
        <v>2652</v>
      </c>
      <c r="O92" s="4">
        <f t="shared" si="30"/>
        <v>2652</v>
      </c>
      <c r="P92" s="4">
        <f t="shared" si="30"/>
        <v>2652</v>
      </c>
      <c r="Q92" s="4">
        <f t="shared" si="30"/>
        <v>2652</v>
      </c>
      <c r="R92" s="4">
        <f t="shared" si="30"/>
        <v>2652</v>
      </c>
      <c r="S92" s="4">
        <f>SUM(G92:R92)</f>
        <v>31824</v>
      </c>
    </row>
    <row r="93" spans="2:19" ht="15" x14ac:dyDescent="0.35">
      <c r="D93" s="5" t="s">
        <v>27</v>
      </c>
      <c r="E93" s="9"/>
      <c r="F93" s="6">
        <v>108324</v>
      </c>
      <c r="G93" s="6">
        <f t="shared" ref="G93:S93" si="31">SUM(G89:G92)</f>
        <v>9027</v>
      </c>
      <c r="H93" s="6">
        <f t="shared" si="31"/>
        <v>9027</v>
      </c>
      <c r="I93" s="6">
        <f t="shared" si="31"/>
        <v>9027</v>
      </c>
      <c r="J93" s="6">
        <f t="shared" si="31"/>
        <v>9027</v>
      </c>
      <c r="K93" s="6">
        <f t="shared" si="31"/>
        <v>9027</v>
      </c>
      <c r="L93" s="6">
        <f t="shared" si="31"/>
        <v>9027</v>
      </c>
      <c r="M93" s="6">
        <f t="shared" si="31"/>
        <v>9027</v>
      </c>
      <c r="N93" s="6">
        <f t="shared" si="31"/>
        <v>9027</v>
      </c>
      <c r="O93" s="6">
        <f t="shared" si="31"/>
        <v>9027</v>
      </c>
      <c r="P93" s="6">
        <f t="shared" si="31"/>
        <v>9027</v>
      </c>
      <c r="Q93" s="6">
        <f t="shared" si="31"/>
        <v>9027</v>
      </c>
      <c r="R93" s="6">
        <f t="shared" si="31"/>
        <v>9027</v>
      </c>
      <c r="S93" s="6">
        <f t="shared" si="31"/>
        <v>108324</v>
      </c>
    </row>
    <row r="94" spans="2:19" x14ac:dyDescent="0.2">
      <c r="C94" t="s">
        <v>7</v>
      </c>
      <c r="E94" s="13">
        <v>1.4999999999999999E-2</v>
      </c>
      <c r="F94" s="14">
        <v>1624.86</v>
      </c>
      <c r="G94" s="14">
        <f t="shared" ref="G94:R97" si="32">+$F94/$F$93*G$93</f>
        <v>135.405</v>
      </c>
      <c r="H94" s="14">
        <f t="shared" si="32"/>
        <v>135.405</v>
      </c>
      <c r="I94" s="14">
        <f t="shared" si="32"/>
        <v>135.405</v>
      </c>
      <c r="J94" s="14">
        <f t="shared" si="32"/>
        <v>135.405</v>
      </c>
      <c r="K94" s="14">
        <f t="shared" si="32"/>
        <v>135.405</v>
      </c>
      <c r="L94" s="14">
        <f t="shared" si="32"/>
        <v>135.405</v>
      </c>
      <c r="M94" s="14">
        <f t="shared" si="32"/>
        <v>135.405</v>
      </c>
      <c r="N94" s="14">
        <f t="shared" si="32"/>
        <v>135.405</v>
      </c>
      <c r="O94" s="14">
        <f t="shared" si="32"/>
        <v>135.405</v>
      </c>
      <c r="P94" s="14">
        <f t="shared" si="32"/>
        <v>135.405</v>
      </c>
      <c r="Q94" s="14">
        <f t="shared" si="32"/>
        <v>135.405</v>
      </c>
      <c r="R94" s="14">
        <f t="shared" si="32"/>
        <v>135.405</v>
      </c>
      <c r="S94" s="14">
        <f>SUM(G94:R94)</f>
        <v>1624.86</v>
      </c>
    </row>
    <row r="95" spans="2:19" x14ac:dyDescent="0.2">
      <c r="C95" t="s">
        <v>8</v>
      </c>
      <c r="E95" s="3" t="s">
        <v>52</v>
      </c>
      <c r="F95" s="14">
        <v>8664.7860000000001</v>
      </c>
      <c r="G95" s="14">
        <f t="shared" si="32"/>
        <v>722.06549999999993</v>
      </c>
      <c r="H95" s="14">
        <f t="shared" si="32"/>
        <v>722.06549999999993</v>
      </c>
      <c r="I95" s="14">
        <f t="shared" si="32"/>
        <v>722.06549999999993</v>
      </c>
      <c r="J95" s="14">
        <f t="shared" si="32"/>
        <v>722.06549999999993</v>
      </c>
      <c r="K95" s="14">
        <f t="shared" si="32"/>
        <v>722.06549999999993</v>
      </c>
      <c r="L95" s="14">
        <f t="shared" si="32"/>
        <v>722.06549999999993</v>
      </c>
      <c r="M95" s="14">
        <f t="shared" si="32"/>
        <v>722.06549999999993</v>
      </c>
      <c r="N95" s="14">
        <f t="shared" si="32"/>
        <v>722.06549999999993</v>
      </c>
      <c r="O95" s="14">
        <f t="shared" si="32"/>
        <v>722.06549999999993</v>
      </c>
      <c r="P95" s="14">
        <f t="shared" si="32"/>
        <v>722.06549999999993</v>
      </c>
      <c r="Q95" s="14">
        <f t="shared" si="32"/>
        <v>722.06549999999993</v>
      </c>
      <c r="R95" s="14">
        <f t="shared" si="32"/>
        <v>722.06549999999993</v>
      </c>
      <c r="S95" s="14">
        <f>SUM(G95:R95)</f>
        <v>8664.7859999999982</v>
      </c>
    </row>
    <row r="96" spans="2:19" x14ac:dyDescent="0.2">
      <c r="C96" t="s">
        <v>9</v>
      </c>
      <c r="E96" s="3" t="str">
        <f>CONCATENATE(ins," per month per employee")</f>
        <v>266.666666666666 per month per employee</v>
      </c>
      <c r="F96" s="14">
        <v>6120</v>
      </c>
      <c r="G96" s="14">
        <f t="shared" si="32"/>
        <v>510</v>
      </c>
      <c r="H96" s="14">
        <f t="shared" si="32"/>
        <v>510</v>
      </c>
      <c r="I96" s="14">
        <f t="shared" si="32"/>
        <v>510</v>
      </c>
      <c r="J96" s="14">
        <f t="shared" si="32"/>
        <v>510</v>
      </c>
      <c r="K96" s="14">
        <f t="shared" si="32"/>
        <v>510</v>
      </c>
      <c r="L96" s="14">
        <f t="shared" si="32"/>
        <v>510</v>
      </c>
      <c r="M96" s="14">
        <f t="shared" si="32"/>
        <v>510</v>
      </c>
      <c r="N96" s="14">
        <f t="shared" si="32"/>
        <v>510</v>
      </c>
      <c r="O96" s="14">
        <f t="shared" si="32"/>
        <v>510</v>
      </c>
      <c r="P96" s="14">
        <f t="shared" si="32"/>
        <v>510</v>
      </c>
      <c r="Q96" s="14">
        <f t="shared" si="32"/>
        <v>510</v>
      </c>
      <c r="R96" s="14">
        <f t="shared" si="32"/>
        <v>510</v>
      </c>
      <c r="S96" s="14">
        <f>SUM(G96:R96)</f>
        <v>6120</v>
      </c>
    </row>
    <row r="97" spans="2:19" ht="15" x14ac:dyDescent="0.35">
      <c r="C97" t="s">
        <v>10</v>
      </c>
      <c r="E97" s="11" t="s">
        <v>53</v>
      </c>
      <c r="F97" s="4">
        <v>1083.24</v>
      </c>
      <c r="G97" s="4">
        <f t="shared" si="32"/>
        <v>90.27</v>
      </c>
      <c r="H97" s="4">
        <f t="shared" si="32"/>
        <v>90.27</v>
      </c>
      <c r="I97" s="4">
        <f t="shared" si="32"/>
        <v>90.27</v>
      </c>
      <c r="J97" s="4">
        <f t="shared" si="32"/>
        <v>90.27</v>
      </c>
      <c r="K97" s="4">
        <f t="shared" si="32"/>
        <v>90.27</v>
      </c>
      <c r="L97" s="4">
        <f t="shared" si="32"/>
        <v>90.27</v>
      </c>
      <c r="M97" s="4">
        <f t="shared" si="32"/>
        <v>90.27</v>
      </c>
      <c r="N97" s="4">
        <f t="shared" si="32"/>
        <v>90.27</v>
      </c>
      <c r="O97" s="4">
        <f t="shared" si="32"/>
        <v>90.27</v>
      </c>
      <c r="P97" s="4">
        <f t="shared" si="32"/>
        <v>90.27</v>
      </c>
      <c r="Q97" s="4">
        <f t="shared" si="32"/>
        <v>90.27</v>
      </c>
      <c r="R97" s="4">
        <f t="shared" si="32"/>
        <v>90.27</v>
      </c>
      <c r="S97" s="4">
        <f>SUM(G97:R97)</f>
        <v>1083.24</v>
      </c>
    </row>
    <row r="98" spans="2:19" ht="15" x14ac:dyDescent="0.35">
      <c r="D98" s="5" t="s">
        <v>28</v>
      </c>
      <c r="E98" s="9"/>
      <c r="F98" s="6">
        <v>17492.886000000002</v>
      </c>
      <c r="G98" s="6">
        <f t="shared" ref="G98:S98" si="33">SUM(G94:G97)</f>
        <v>1457.7404999999999</v>
      </c>
      <c r="H98" s="6">
        <f t="shared" si="33"/>
        <v>1457.7404999999999</v>
      </c>
      <c r="I98" s="6">
        <f t="shared" si="33"/>
        <v>1457.7404999999999</v>
      </c>
      <c r="J98" s="6">
        <f t="shared" si="33"/>
        <v>1457.7404999999999</v>
      </c>
      <c r="K98" s="6">
        <f t="shared" si="33"/>
        <v>1457.7404999999999</v>
      </c>
      <c r="L98" s="6">
        <f t="shared" si="33"/>
        <v>1457.7404999999999</v>
      </c>
      <c r="M98" s="6">
        <f t="shared" si="33"/>
        <v>1457.7404999999999</v>
      </c>
      <c r="N98" s="6">
        <f t="shared" si="33"/>
        <v>1457.7404999999999</v>
      </c>
      <c r="O98" s="6">
        <f t="shared" si="33"/>
        <v>1457.7404999999999</v>
      </c>
      <c r="P98" s="6">
        <f t="shared" si="33"/>
        <v>1457.7404999999999</v>
      </c>
      <c r="Q98" s="6">
        <f t="shared" si="33"/>
        <v>1457.7404999999999</v>
      </c>
      <c r="R98" s="6">
        <f t="shared" si="33"/>
        <v>1457.7404999999999</v>
      </c>
      <c r="S98" s="6">
        <f t="shared" si="33"/>
        <v>17492.886000000002</v>
      </c>
    </row>
    <row r="99" spans="2:19" x14ac:dyDescent="0.2">
      <c r="C99" t="s">
        <v>12</v>
      </c>
      <c r="E99" s="3" t="s">
        <v>54</v>
      </c>
      <c r="F99" s="14">
        <v>2040</v>
      </c>
      <c r="G99" s="14">
        <f>+F99/12</f>
        <v>170</v>
      </c>
      <c r="H99" s="14">
        <f t="shared" ref="H99:R99" si="34">+G99</f>
        <v>170</v>
      </c>
      <c r="I99" s="14">
        <f t="shared" si="34"/>
        <v>170</v>
      </c>
      <c r="J99" s="14">
        <f t="shared" si="34"/>
        <v>170</v>
      </c>
      <c r="K99" s="14">
        <f t="shared" si="34"/>
        <v>170</v>
      </c>
      <c r="L99" s="14">
        <f t="shared" si="34"/>
        <v>170</v>
      </c>
      <c r="M99" s="14">
        <f t="shared" si="34"/>
        <v>170</v>
      </c>
      <c r="N99" s="14">
        <f t="shared" si="34"/>
        <v>170</v>
      </c>
      <c r="O99" s="14">
        <f t="shared" si="34"/>
        <v>170</v>
      </c>
      <c r="P99" s="14">
        <f t="shared" si="34"/>
        <v>170</v>
      </c>
      <c r="Q99" s="14">
        <f t="shared" si="34"/>
        <v>170</v>
      </c>
      <c r="R99" s="14">
        <f t="shared" si="34"/>
        <v>170</v>
      </c>
      <c r="S99" s="14">
        <f t="shared" ref="S99:S105" si="35">SUM(G99:R99)</f>
        <v>2040</v>
      </c>
    </row>
    <row r="100" spans="2:19" x14ac:dyDescent="0.2">
      <c r="C100" t="s">
        <v>29</v>
      </c>
      <c r="E100" s="3" t="s">
        <v>138</v>
      </c>
      <c r="F100" s="14">
        <v>9180</v>
      </c>
      <c r="G100" s="14">
        <f>+F100/12</f>
        <v>765</v>
      </c>
      <c r="H100" s="14">
        <f t="shared" ref="H100:R100" si="36">+G100</f>
        <v>765</v>
      </c>
      <c r="I100" s="14">
        <f t="shared" si="36"/>
        <v>765</v>
      </c>
      <c r="J100" s="14">
        <f t="shared" si="36"/>
        <v>765</v>
      </c>
      <c r="K100" s="14">
        <f t="shared" si="36"/>
        <v>765</v>
      </c>
      <c r="L100" s="14">
        <f t="shared" si="36"/>
        <v>765</v>
      </c>
      <c r="M100" s="14">
        <f t="shared" si="36"/>
        <v>765</v>
      </c>
      <c r="N100" s="14">
        <f t="shared" si="36"/>
        <v>765</v>
      </c>
      <c r="O100" s="14">
        <f t="shared" si="36"/>
        <v>765</v>
      </c>
      <c r="P100" s="14">
        <f t="shared" si="36"/>
        <v>765</v>
      </c>
      <c r="Q100" s="14">
        <f t="shared" si="36"/>
        <v>765</v>
      </c>
      <c r="R100" s="14">
        <f t="shared" si="36"/>
        <v>765</v>
      </c>
      <c r="S100" s="14">
        <f t="shared" si="35"/>
        <v>9180</v>
      </c>
    </row>
    <row r="101" spans="2:19" x14ac:dyDescent="0.2">
      <c r="C101" t="s">
        <v>30</v>
      </c>
      <c r="E101" s="3" t="s">
        <v>54</v>
      </c>
      <c r="F101" s="14">
        <v>3672</v>
      </c>
      <c r="G101" s="14">
        <f>+F101/12</f>
        <v>306</v>
      </c>
      <c r="H101" s="14">
        <f t="shared" ref="H101:R101" si="37">+G101</f>
        <v>306</v>
      </c>
      <c r="I101" s="14">
        <f t="shared" si="37"/>
        <v>306</v>
      </c>
      <c r="J101" s="14">
        <f t="shared" si="37"/>
        <v>306</v>
      </c>
      <c r="K101" s="14">
        <f t="shared" si="37"/>
        <v>306</v>
      </c>
      <c r="L101" s="14">
        <f t="shared" si="37"/>
        <v>306</v>
      </c>
      <c r="M101" s="14">
        <f t="shared" si="37"/>
        <v>306</v>
      </c>
      <c r="N101" s="14">
        <f t="shared" si="37"/>
        <v>306</v>
      </c>
      <c r="O101" s="14">
        <f t="shared" si="37"/>
        <v>306</v>
      </c>
      <c r="P101" s="14">
        <f t="shared" si="37"/>
        <v>306</v>
      </c>
      <c r="Q101" s="14">
        <f t="shared" si="37"/>
        <v>306</v>
      </c>
      <c r="R101" s="14">
        <f t="shared" si="37"/>
        <v>306</v>
      </c>
      <c r="S101" s="14">
        <f t="shared" si="35"/>
        <v>3672</v>
      </c>
    </row>
    <row r="102" spans="2:19" x14ac:dyDescent="0.2">
      <c r="C102" t="s">
        <v>73</v>
      </c>
      <c r="E102" s="3" t="s">
        <v>54</v>
      </c>
      <c r="F102" s="14">
        <v>2000</v>
      </c>
      <c r="G102" s="14">
        <f>+F102/4</f>
        <v>500</v>
      </c>
      <c r="H102" s="14">
        <f>(F102-G102)/11</f>
        <v>136.36363636363637</v>
      </c>
      <c r="I102" s="14">
        <f t="shared" ref="I102:R102" si="38">+H102</f>
        <v>136.36363636363637</v>
      </c>
      <c r="J102" s="14">
        <f t="shared" si="38"/>
        <v>136.36363636363637</v>
      </c>
      <c r="K102" s="14">
        <f t="shared" si="38"/>
        <v>136.36363636363637</v>
      </c>
      <c r="L102" s="14">
        <f t="shared" si="38"/>
        <v>136.36363636363637</v>
      </c>
      <c r="M102" s="14">
        <f t="shared" si="38"/>
        <v>136.36363636363637</v>
      </c>
      <c r="N102" s="14">
        <f t="shared" si="38"/>
        <v>136.36363636363637</v>
      </c>
      <c r="O102" s="14">
        <f t="shared" si="38"/>
        <v>136.36363636363637</v>
      </c>
      <c r="P102" s="14">
        <f t="shared" si="38"/>
        <v>136.36363636363637</v>
      </c>
      <c r="Q102" s="14">
        <f t="shared" si="38"/>
        <v>136.36363636363637</v>
      </c>
      <c r="R102" s="14">
        <f t="shared" si="38"/>
        <v>136.36363636363637</v>
      </c>
      <c r="S102" s="14">
        <f t="shared" si="35"/>
        <v>2000.0000000000009</v>
      </c>
    </row>
    <row r="103" spans="2:19" x14ac:dyDescent="0.2">
      <c r="C103" t="s">
        <v>13</v>
      </c>
      <c r="E103" s="3" t="s">
        <v>54</v>
      </c>
      <c r="F103" s="14">
        <v>4590</v>
      </c>
      <c r="G103" s="14">
        <f>+F103/4</f>
        <v>1147.5</v>
      </c>
      <c r="H103" s="14">
        <f>(F103-G103)/11</f>
        <v>312.95454545454544</v>
      </c>
      <c r="I103" s="14">
        <f t="shared" ref="I103:R103" si="39">+H103</f>
        <v>312.95454545454544</v>
      </c>
      <c r="J103" s="14">
        <f t="shared" si="39"/>
        <v>312.95454545454544</v>
      </c>
      <c r="K103" s="14">
        <f t="shared" si="39"/>
        <v>312.95454545454544</v>
      </c>
      <c r="L103" s="14">
        <f t="shared" si="39"/>
        <v>312.95454545454544</v>
      </c>
      <c r="M103" s="14">
        <f t="shared" si="39"/>
        <v>312.95454545454544</v>
      </c>
      <c r="N103" s="14">
        <f t="shared" si="39"/>
        <v>312.95454545454544</v>
      </c>
      <c r="O103" s="14">
        <f t="shared" si="39"/>
        <v>312.95454545454544</v>
      </c>
      <c r="P103" s="14">
        <f t="shared" si="39"/>
        <v>312.95454545454544</v>
      </c>
      <c r="Q103" s="14">
        <f t="shared" si="39"/>
        <v>312.95454545454544</v>
      </c>
      <c r="R103" s="14">
        <f t="shared" si="39"/>
        <v>312.95454545454544</v>
      </c>
      <c r="S103" s="14">
        <f t="shared" si="35"/>
        <v>4590</v>
      </c>
    </row>
    <row r="104" spans="2:19" x14ac:dyDescent="0.2">
      <c r="C104" t="s">
        <v>15</v>
      </c>
      <c r="E104" s="3" t="s">
        <v>54</v>
      </c>
      <c r="F104" s="14">
        <v>1360</v>
      </c>
      <c r="G104" s="14">
        <f>+F104/4</f>
        <v>340</v>
      </c>
      <c r="H104" s="14">
        <f>(F104-G104)/11</f>
        <v>92.727272727272734</v>
      </c>
      <c r="I104" s="14">
        <f t="shared" ref="I104:R104" si="40">+H104</f>
        <v>92.727272727272734</v>
      </c>
      <c r="J104" s="14">
        <f t="shared" si="40"/>
        <v>92.727272727272734</v>
      </c>
      <c r="K104" s="14">
        <f t="shared" si="40"/>
        <v>92.727272727272734</v>
      </c>
      <c r="L104" s="14">
        <f t="shared" si="40"/>
        <v>92.727272727272734</v>
      </c>
      <c r="M104" s="14">
        <f t="shared" si="40"/>
        <v>92.727272727272734</v>
      </c>
      <c r="N104" s="14">
        <f t="shared" si="40"/>
        <v>92.727272727272734</v>
      </c>
      <c r="O104" s="14">
        <f t="shared" si="40"/>
        <v>92.727272727272734</v>
      </c>
      <c r="P104" s="14">
        <f t="shared" si="40"/>
        <v>92.727272727272734</v>
      </c>
      <c r="Q104" s="14">
        <f t="shared" si="40"/>
        <v>92.727272727272734</v>
      </c>
      <c r="R104" s="14">
        <f t="shared" si="40"/>
        <v>92.727272727272734</v>
      </c>
      <c r="S104" s="14">
        <f t="shared" si="35"/>
        <v>1360.0000000000002</v>
      </c>
    </row>
    <row r="105" spans="2:19" ht="15" x14ac:dyDescent="0.35">
      <c r="C105" t="s">
        <v>16</v>
      </c>
      <c r="E105" s="3" t="s">
        <v>54</v>
      </c>
      <c r="F105" s="4">
        <v>510</v>
      </c>
      <c r="G105" s="4">
        <f>+F105/4</f>
        <v>127.5</v>
      </c>
      <c r="H105" s="4">
        <f>(F105-G105)/11</f>
        <v>34.772727272727273</v>
      </c>
      <c r="I105" s="4">
        <f t="shared" ref="I105:R105" si="41">+H105</f>
        <v>34.772727272727273</v>
      </c>
      <c r="J105" s="4">
        <f t="shared" si="41"/>
        <v>34.772727272727273</v>
      </c>
      <c r="K105" s="4">
        <f t="shared" si="41"/>
        <v>34.772727272727273</v>
      </c>
      <c r="L105" s="4">
        <f t="shared" si="41"/>
        <v>34.772727272727273</v>
      </c>
      <c r="M105" s="4">
        <f t="shared" si="41"/>
        <v>34.772727272727273</v>
      </c>
      <c r="N105" s="4">
        <f t="shared" si="41"/>
        <v>34.772727272727273</v>
      </c>
      <c r="O105" s="4">
        <f t="shared" si="41"/>
        <v>34.772727272727273</v>
      </c>
      <c r="P105" s="4">
        <f t="shared" si="41"/>
        <v>34.772727272727273</v>
      </c>
      <c r="Q105" s="4">
        <f t="shared" si="41"/>
        <v>34.772727272727273</v>
      </c>
      <c r="R105" s="4">
        <f t="shared" si="41"/>
        <v>34.772727272727273</v>
      </c>
      <c r="S105" s="4">
        <f t="shared" si="35"/>
        <v>509.99999999999989</v>
      </c>
    </row>
    <row r="106" spans="2:19" ht="15" x14ac:dyDescent="0.35">
      <c r="B106" s="5"/>
      <c r="C106" s="5"/>
      <c r="D106" s="5" t="s">
        <v>31</v>
      </c>
      <c r="E106" s="9"/>
      <c r="F106" s="6">
        <v>23352</v>
      </c>
      <c r="G106" s="6">
        <f t="shared" ref="G106:S106" si="42">SUM(G99:G105)</f>
        <v>3356</v>
      </c>
      <c r="H106" s="6">
        <f t="shared" si="42"/>
        <v>1817.818181818182</v>
      </c>
      <c r="I106" s="6">
        <f t="shared" si="42"/>
        <v>1817.818181818182</v>
      </c>
      <c r="J106" s="6">
        <f t="shared" si="42"/>
        <v>1817.818181818182</v>
      </c>
      <c r="K106" s="6">
        <f t="shared" si="42"/>
        <v>1817.818181818182</v>
      </c>
      <c r="L106" s="6">
        <f t="shared" si="42"/>
        <v>1817.818181818182</v>
      </c>
      <c r="M106" s="6">
        <f t="shared" si="42"/>
        <v>1817.818181818182</v>
      </c>
      <c r="N106" s="6">
        <f t="shared" si="42"/>
        <v>1817.818181818182</v>
      </c>
      <c r="O106" s="6">
        <f t="shared" si="42"/>
        <v>1817.818181818182</v>
      </c>
      <c r="P106" s="6">
        <f t="shared" si="42"/>
        <v>1817.818181818182</v>
      </c>
      <c r="Q106" s="6">
        <f t="shared" si="42"/>
        <v>1817.818181818182</v>
      </c>
      <c r="R106" s="6">
        <f t="shared" si="42"/>
        <v>1817.818181818182</v>
      </c>
      <c r="S106" s="6">
        <f t="shared" si="42"/>
        <v>23352</v>
      </c>
    </row>
    <row r="107" spans="2:19" ht="15" x14ac:dyDescent="0.35">
      <c r="B107" s="5" t="s">
        <v>32</v>
      </c>
      <c r="C107" s="5"/>
      <c r="D107" s="5"/>
      <c r="E107" s="9"/>
      <c r="F107" s="6">
        <v>149168.886</v>
      </c>
      <c r="G107" s="6">
        <f t="shared" ref="G107:S107" si="43">SUM(G106,G98,G93)</f>
        <v>13840.7405</v>
      </c>
      <c r="H107" s="6">
        <f t="shared" si="43"/>
        <v>12302.558681818182</v>
      </c>
      <c r="I107" s="6">
        <f t="shared" si="43"/>
        <v>12302.558681818182</v>
      </c>
      <c r="J107" s="6">
        <f t="shared" si="43"/>
        <v>12302.558681818182</v>
      </c>
      <c r="K107" s="6">
        <f t="shared" si="43"/>
        <v>12302.558681818182</v>
      </c>
      <c r="L107" s="6">
        <f t="shared" si="43"/>
        <v>12302.558681818182</v>
      </c>
      <c r="M107" s="6">
        <f t="shared" si="43"/>
        <v>12302.558681818182</v>
      </c>
      <c r="N107" s="6">
        <f t="shared" si="43"/>
        <v>12302.558681818182</v>
      </c>
      <c r="O107" s="6">
        <f t="shared" si="43"/>
        <v>12302.558681818182</v>
      </c>
      <c r="P107" s="6">
        <f t="shared" si="43"/>
        <v>12302.558681818182</v>
      </c>
      <c r="Q107" s="6">
        <f t="shared" si="43"/>
        <v>12302.558681818182</v>
      </c>
      <c r="R107" s="6">
        <f t="shared" si="43"/>
        <v>12302.558681818182</v>
      </c>
      <c r="S107" s="6">
        <f t="shared" si="43"/>
        <v>149168.886</v>
      </c>
    </row>
    <row r="109" spans="2:19" x14ac:dyDescent="0.2">
      <c r="B109" s="5" t="s">
        <v>50</v>
      </c>
    </row>
    <row r="110" spans="2:19" ht="15" x14ac:dyDescent="0.35">
      <c r="B110" s="5"/>
      <c r="C110" t="s">
        <v>33</v>
      </c>
      <c r="F110" s="4">
        <v>82300</v>
      </c>
      <c r="G110" s="4">
        <f>+F110/12</f>
        <v>6858.333333333333</v>
      </c>
      <c r="H110" s="4">
        <f t="shared" ref="H110:R110" si="44">+G110</f>
        <v>6858.333333333333</v>
      </c>
      <c r="I110" s="4">
        <f t="shared" si="44"/>
        <v>6858.333333333333</v>
      </c>
      <c r="J110" s="4">
        <f t="shared" si="44"/>
        <v>6858.333333333333</v>
      </c>
      <c r="K110" s="4">
        <f t="shared" si="44"/>
        <v>6858.333333333333</v>
      </c>
      <c r="L110" s="4">
        <f t="shared" si="44"/>
        <v>6858.333333333333</v>
      </c>
      <c r="M110" s="4">
        <f t="shared" si="44"/>
        <v>6858.333333333333</v>
      </c>
      <c r="N110" s="4">
        <f t="shared" si="44"/>
        <v>6858.333333333333</v>
      </c>
      <c r="O110" s="4">
        <f t="shared" si="44"/>
        <v>6858.333333333333</v>
      </c>
      <c r="P110" s="4">
        <f t="shared" si="44"/>
        <v>6858.333333333333</v>
      </c>
      <c r="Q110" s="4">
        <f t="shared" si="44"/>
        <v>6858.333333333333</v>
      </c>
      <c r="R110" s="4">
        <f t="shared" si="44"/>
        <v>6858.333333333333</v>
      </c>
      <c r="S110" s="4">
        <f>SUM(G110:R110)</f>
        <v>82300</v>
      </c>
    </row>
    <row r="111" spans="2:19" hidden="1" x14ac:dyDescent="0.2">
      <c r="B111" s="5"/>
      <c r="C111" t="s">
        <v>78</v>
      </c>
      <c r="E111" s="3" t="s">
        <v>139</v>
      </c>
      <c r="F111" s="14">
        <v>0</v>
      </c>
      <c r="G111" s="14">
        <f>+F111/4</f>
        <v>0</v>
      </c>
      <c r="H111" s="14">
        <f>+(F111-G111)/11</f>
        <v>0</v>
      </c>
      <c r="I111" s="14">
        <f t="shared" ref="I111:R111" si="45">+H111</f>
        <v>0</v>
      </c>
      <c r="J111" s="14">
        <f t="shared" si="45"/>
        <v>0</v>
      </c>
      <c r="K111" s="14">
        <f t="shared" si="45"/>
        <v>0</v>
      </c>
      <c r="L111" s="14">
        <f t="shared" si="45"/>
        <v>0</v>
      </c>
      <c r="M111" s="14">
        <f t="shared" si="45"/>
        <v>0</v>
      </c>
      <c r="N111" s="14">
        <f t="shared" si="45"/>
        <v>0</v>
      </c>
      <c r="O111" s="14">
        <f t="shared" si="45"/>
        <v>0</v>
      </c>
      <c r="P111" s="14">
        <f t="shared" si="45"/>
        <v>0</v>
      </c>
      <c r="Q111" s="14">
        <f t="shared" si="45"/>
        <v>0</v>
      </c>
      <c r="R111" s="14">
        <f t="shared" si="45"/>
        <v>0</v>
      </c>
      <c r="S111" s="14">
        <f>SUM(G111:R111)</f>
        <v>0</v>
      </c>
    </row>
    <row r="112" spans="2:19" ht="15" hidden="1" x14ac:dyDescent="0.35">
      <c r="B112" s="5"/>
      <c r="C112" t="s">
        <v>79</v>
      </c>
      <c r="E112" s="3" t="s">
        <v>54</v>
      </c>
      <c r="F112" s="4">
        <v>0</v>
      </c>
      <c r="G112" s="4">
        <f>+F112/4</f>
        <v>0</v>
      </c>
      <c r="H112" s="4">
        <f>+(F112-G112)/11</f>
        <v>0</v>
      </c>
      <c r="I112" s="4">
        <f t="shared" ref="I112:R112" si="46">+H112</f>
        <v>0</v>
      </c>
      <c r="J112" s="4">
        <f t="shared" si="46"/>
        <v>0</v>
      </c>
      <c r="K112" s="4">
        <f t="shared" si="46"/>
        <v>0</v>
      </c>
      <c r="L112" s="4">
        <f t="shared" si="46"/>
        <v>0</v>
      </c>
      <c r="M112" s="4">
        <f t="shared" si="46"/>
        <v>0</v>
      </c>
      <c r="N112" s="4">
        <f t="shared" si="46"/>
        <v>0</v>
      </c>
      <c r="O112" s="4">
        <f t="shared" si="46"/>
        <v>0</v>
      </c>
      <c r="P112" s="4">
        <f t="shared" si="46"/>
        <v>0</v>
      </c>
      <c r="Q112" s="4">
        <f t="shared" si="46"/>
        <v>0</v>
      </c>
      <c r="R112" s="4">
        <f t="shared" si="46"/>
        <v>0</v>
      </c>
      <c r="S112" s="4">
        <f>SUM(G112:R112)</f>
        <v>0</v>
      </c>
    </row>
    <row r="113" spans="2:19" ht="15" x14ac:dyDescent="0.35">
      <c r="B113" s="5" t="s">
        <v>77</v>
      </c>
      <c r="C113" s="5"/>
      <c r="D113" s="5"/>
      <c r="E113" s="9"/>
      <c r="F113" s="6">
        <v>82300</v>
      </c>
      <c r="G113" s="6">
        <f t="shared" ref="G113:S113" si="47">SUM(G110:G112)</f>
        <v>6858.333333333333</v>
      </c>
      <c r="H113" s="6">
        <f t="shared" si="47"/>
        <v>6858.333333333333</v>
      </c>
      <c r="I113" s="6">
        <f t="shared" si="47"/>
        <v>6858.333333333333</v>
      </c>
      <c r="J113" s="6">
        <f t="shared" si="47"/>
        <v>6858.333333333333</v>
      </c>
      <c r="K113" s="6">
        <f t="shared" si="47"/>
        <v>6858.333333333333</v>
      </c>
      <c r="L113" s="6">
        <f t="shared" si="47"/>
        <v>6858.333333333333</v>
      </c>
      <c r="M113" s="6">
        <f t="shared" si="47"/>
        <v>6858.333333333333</v>
      </c>
      <c r="N113" s="6">
        <f t="shared" si="47"/>
        <v>6858.333333333333</v>
      </c>
      <c r="O113" s="6">
        <f t="shared" si="47"/>
        <v>6858.333333333333</v>
      </c>
      <c r="P113" s="6">
        <f t="shared" si="47"/>
        <v>6858.333333333333</v>
      </c>
      <c r="Q113" s="6">
        <f t="shared" si="47"/>
        <v>6858.333333333333</v>
      </c>
      <c r="R113" s="6">
        <f t="shared" si="47"/>
        <v>6858.333333333333</v>
      </c>
      <c r="S113" s="6">
        <f t="shared" si="47"/>
        <v>82300</v>
      </c>
    </row>
    <row r="114" spans="2:19" hidden="1" x14ac:dyDescent="0.2"/>
    <row r="115" spans="2:19" hidden="1" x14ac:dyDescent="0.2">
      <c r="B115" s="5" t="s">
        <v>34</v>
      </c>
    </row>
    <row r="116" spans="2:19" hidden="1" x14ac:dyDescent="0.2">
      <c r="C116" t="s">
        <v>46</v>
      </c>
      <c r="E116" s="11" t="s">
        <v>85</v>
      </c>
      <c r="F116" s="14">
        <v>0</v>
      </c>
    </row>
    <row r="117" spans="2:19" ht="15" hidden="1" x14ac:dyDescent="0.35">
      <c r="C117" t="s">
        <v>47</v>
      </c>
      <c r="E117" s="11" t="s">
        <v>86</v>
      </c>
      <c r="F117" s="4">
        <v>0</v>
      </c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</row>
    <row r="118" spans="2:19" ht="15" hidden="1" x14ac:dyDescent="0.35">
      <c r="B118" s="5" t="s">
        <v>48</v>
      </c>
      <c r="C118" s="5"/>
      <c r="D118" s="5"/>
      <c r="E118" s="9"/>
      <c r="F118" s="6">
        <v>0</v>
      </c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</row>
    <row r="119" spans="2:19" ht="15" x14ac:dyDescent="0.35">
      <c r="B119" s="5"/>
      <c r="C119" s="5"/>
      <c r="D119" s="5"/>
      <c r="E119" s="9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</row>
    <row r="120" spans="2:19" x14ac:dyDescent="0.2">
      <c r="B120" s="5" t="s">
        <v>80</v>
      </c>
    </row>
    <row r="121" spans="2:19" ht="15" x14ac:dyDescent="0.35">
      <c r="C121" t="s">
        <v>147</v>
      </c>
      <c r="E121" s="3" t="s">
        <v>135</v>
      </c>
      <c r="F121" s="4">
        <v>17625.599999999999</v>
      </c>
      <c r="G121" s="4">
        <v>0</v>
      </c>
      <c r="H121" s="4">
        <f>+F121/10</f>
        <v>1762.56</v>
      </c>
      <c r="I121" s="4">
        <f t="shared" ref="I121:Q121" si="48">+H121</f>
        <v>1762.56</v>
      </c>
      <c r="J121" s="4">
        <f t="shared" si="48"/>
        <v>1762.56</v>
      </c>
      <c r="K121" s="4">
        <f t="shared" si="48"/>
        <v>1762.56</v>
      </c>
      <c r="L121" s="4">
        <f t="shared" si="48"/>
        <v>1762.56</v>
      </c>
      <c r="M121" s="4">
        <f t="shared" si="48"/>
        <v>1762.56</v>
      </c>
      <c r="N121" s="4">
        <f t="shared" si="48"/>
        <v>1762.56</v>
      </c>
      <c r="O121" s="4">
        <f t="shared" si="48"/>
        <v>1762.56</v>
      </c>
      <c r="P121" s="4">
        <f t="shared" si="48"/>
        <v>1762.56</v>
      </c>
      <c r="Q121" s="4">
        <f t="shared" si="48"/>
        <v>1762.56</v>
      </c>
      <c r="R121" s="4">
        <v>0</v>
      </c>
      <c r="S121" s="4">
        <f>SUM(G121:R121)</f>
        <v>17625.599999999999</v>
      </c>
    </row>
    <row r="122" spans="2:19" ht="15" x14ac:dyDescent="0.35">
      <c r="D122" s="5" t="s">
        <v>148</v>
      </c>
      <c r="E122" s="9"/>
      <c r="F122" s="6">
        <v>17625.599999999999</v>
      </c>
      <c r="G122" s="6">
        <f t="shared" ref="G122:S122" si="49">SUM(G121)</f>
        <v>0</v>
      </c>
      <c r="H122" s="6">
        <f t="shared" si="49"/>
        <v>1762.56</v>
      </c>
      <c r="I122" s="6">
        <f t="shared" si="49"/>
        <v>1762.56</v>
      </c>
      <c r="J122" s="6">
        <f t="shared" si="49"/>
        <v>1762.56</v>
      </c>
      <c r="K122" s="6">
        <f t="shared" si="49"/>
        <v>1762.56</v>
      </c>
      <c r="L122" s="6">
        <f t="shared" si="49"/>
        <v>1762.56</v>
      </c>
      <c r="M122" s="6">
        <f t="shared" si="49"/>
        <v>1762.56</v>
      </c>
      <c r="N122" s="6">
        <f t="shared" si="49"/>
        <v>1762.56</v>
      </c>
      <c r="O122" s="6">
        <f t="shared" si="49"/>
        <v>1762.56</v>
      </c>
      <c r="P122" s="6">
        <f t="shared" si="49"/>
        <v>1762.56</v>
      </c>
      <c r="Q122" s="6">
        <f t="shared" si="49"/>
        <v>1762.56</v>
      </c>
      <c r="R122" s="6">
        <f t="shared" si="49"/>
        <v>0</v>
      </c>
      <c r="S122" s="6">
        <f t="shared" si="49"/>
        <v>17625.599999999999</v>
      </c>
    </row>
    <row r="123" spans="2:19" x14ac:dyDescent="0.2">
      <c r="C123" t="s">
        <v>7</v>
      </c>
      <c r="E123" s="13">
        <v>1.4999999999999999E-2</v>
      </c>
      <c r="F123" s="14">
        <v>264.38399999999996</v>
      </c>
      <c r="G123" s="14">
        <f t="shared" ref="G123:R126" si="50">+$F123/$F$122*G$122</f>
        <v>0</v>
      </c>
      <c r="H123" s="14">
        <f t="shared" si="50"/>
        <v>26.438399999999998</v>
      </c>
      <c r="I123" s="14">
        <f t="shared" si="50"/>
        <v>26.438399999999998</v>
      </c>
      <c r="J123" s="14">
        <f t="shared" si="50"/>
        <v>26.438399999999998</v>
      </c>
      <c r="K123" s="14">
        <f t="shared" si="50"/>
        <v>26.438399999999998</v>
      </c>
      <c r="L123" s="14">
        <f t="shared" si="50"/>
        <v>26.438399999999998</v>
      </c>
      <c r="M123" s="14">
        <f t="shared" si="50"/>
        <v>26.438399999999998</v>
      </c>
      <c r="N123" s="14">
        <f t="shared" si="50"/>
        <v>26.438399999999998</v>
      </c>
      <c r="O123" s="14">
        <f t="shared" si="50"/>
        <v>26.438399999999998</v>
      </c>
      <c r="P123" s="14">
        <f t="shared" si="50"/>
        <v>26.438399999999998</v>
      </c>
      <c r="Q123" s="14">
        <f t="shared" si="50"/>
        <v>26.438399999999998</v>
      </c>
      <c r="R123" s="14">
        <f t="shared" si="50"/>
        <v>0</v>
      </c>
      <c r="S123" s="14">
        <f>SUM(G123:R123)</f>
        <v>264.38399999999996</v>
      </c>
    </row>
    <row r="124" spans="2:19" x14ac:dyDescent="0.2">
      <c r="C124" t="s">
        <v>8</v>
      </c>
      <c r="E124" s="3" t="s">
        <v>52</v>
      </c>
      <c r="F124" s="14">
        <v>1726.3583999999998</v>
      </c>
      <c r="G124" s="14">
        <f t="shared" si="50"/>
        <v>0</v>
      </c>
      <c r="H124" s="14">
        <f t="shared" si="50"/>
        <v>172.63584</v>
      </c>
      <c r="I124" s="14">
        <f t="shared" si="50"/>
        <v>172.63584</v>
      </c>
      <c r="J124" s="14">
        <f t="shared" si="50"/>
        <v>172.63584</v>
      </c>
      <c r="K124" s="14">
        <f t="shared" si="50"/>
        <v>172.63584</v>
      </c>
      <c r="L124" s="14">
        <f t="shared" si="50"/>
        <v>172.63584</v>
      </c>
      <c r="M124" s="14">
        <f t="shared" si="50"/>
        <v>172.63584</v>
      </c>
      <c r="N124" s="14">
        <f t="shared" si="50"/>
        <v>172.63584</v>
      </c>
      <c r="O124" s="14">
        <f t="shared" si="50"/>
        <v>172.63584</v>
      </c>
      <c r="P124" s="14">
        <f t="shared" si="50"/>
        <v>172.63584</v>
      </c>
      <c r="Q124" s="14">
        <f t="shared" si="50"/>
        <v>172.63584</v>
      </c>
      <c r="R124" s="14">
        <f t="shared" si="50"/>
        <v>0</v>
      </c>
      <c r="S124" s="14">
        <f>SUM(G124:R124)</f>
        <v>1726.3583999999996</v>
      </c>
    </row>
    <row r="125" spans="2:19" hidden="1" x14ac:dyDescent="0.2">
      <c r="C125" t="s">
        <v>9</v>
      </c>
      <c r="E125" s="3" t="str">
        <f>CONCATENATE(ins," per month per employee")</f>
        <v>266.666666666666 per month per employee</v>
      </c>
      <c r="F125" s="14">
        <v>0</v>
      </c>
      <c r="G125" s="14">
        <f t="shared" si="50"/>
        <v>0</v>
      </c>
      <c r="H125" s="14">
        <f t="shared" si="50"/>
        <v>0</v>
      </c>
      <c r="I125" s="14">
        <f t="shared" si="50"/>
        <v>0</v>
      </c>
      <c r="J125" s="14">
        <f t="shared" si="50"/>
        <v>0</v>
      </c>
      <c r="K125" s="14">
        <f t="shared" si="50"/>
        <v>0</v>
      </c>
      <c r="L125" s="14">
        <f t="shared" si="50"/>
        <v>0</v>
      </c>
      <c r="M125" s="14">
        <f t="shared" si="50"/>
        <v>0</v>
      </c>
      <c r="N125" s="14">
        <f t="shared" si="50"/>
        <v>0</v>
      </c>
      <c r="O125" s="14">
        <f t="shared" si="50"/>
        <v>0</v>
      </c>
      <c r="P125" s="14">
        <f t="shared" si="50"/>
        <v>0</v>
      </c>
      <c r="Q125" s="14">
        <f t="shared" si="50"/>
        <v>0</v>
      </c>
      <c r="R125" s="14">
        <f t="shared" si="50"/>
        <v>0</v>
      </c>
      <c r="S125" s="14">
        <f>SUM(G125:R125)</f>
        <v>0</v>
      </c>
    </row>
    <row r="126" spans="2:19" ht="15" x14ac:dyDescent="0.35">
      <c r="C126" t="s">
        <v>10</v>
      </c>
      <c r="E126" s="11" t="s">
        <v>53</v>
      </c>
      <c r="F126" s="4">
        <v>176.256</v>
      </c>
      <c r="G126" s="4">
        <f t="shared" si="50"/>
        <v>0</v>
      </c>
      <c r="H126" s="4">
        <f t="shared" si="50"/>
        <v>17.625599999999999</v>
      </c>
      <c r="I126" s="4">
        <f t="shared" si="50"/>
        <v>17.625599999999999</v>
      </c>
      <c r="J126" s="4">
        <f t="shared" si="50"/>
        <v>17.625599999999999</v>
      </c>
      <c r="K126" s="4">
        <f t="shared" si="50"/>
        <v>17.625599999999999</v>
      </c>
      <c r="L126" s="4">
        <f t="shared" si="50"/>
        <v>17.625599999999999</v>
      </c>
      <c r="M126" s="4">
        <f t="shared" si="50"/>
        <v>17.625599999999999</v>
      </c>
      <c r="N126" s="4">
        <f t="shared" si="50"/>
        <v>17.625599999999999</v>
      </c>
      <c r="O126" s="4">
        <f t="shared" si="50"/>
        <v>17.625599999999999</v>
      </c>
      <c r="P126" s="4">
        <f t="shared" si="50"/>
        <v>17.625599999999999</v>
      </c>
      <c r="Q126" s="4">
        <f t="shared" si="50"/>
        <v>17.625599999999999</v>
      </c>
      <c r="R126" s="4">
        <f t="shared" si="50"/>
        <v>0</v>
      </c>
      <c r="S126" s="4">
        <f>SUM(G126:R126)</f>
        <v>176.25599999999994</v>
      </c>
    </row>
    <row r="127" spans="2:19" ht="15" x14ac:dyDescent="0.35">
      <c r="D127" s="5" t="s">
        <v>149</v>
      </c>
      <c r="E127" s="9"/>
      <c r="F127" s="6">
        <v>2166.9983999999999</v>
      </c>
      <c r="G127" s="6">
        <f t="shared" ref="G127:S127" si="51">SUM(G123:G126)</f>
        <v>0</v>
      </c>
      <c r="H127" s="6">
        <f t="shared" si="51"/>
        <v>216.69983999999999</v>
      </c>
      <c r="I127" s="6">
        <f t="shared" si="51"/>
        <v>216.69983999999999</v>
      </c>
      <c r="J127" s="6">
        <f t="shared" si="51"/>
        <v>216.69983999999999</v>
      </c>
      <c r="K127" s="6">
        <f t="shared" si="51"/>
        <v>216.69983999999999</v>
      </c>
      <c r="L127" s="6">
        <f t="shared" si="51"/>
        <v>216.69983999999999</v>
      </c>
      <c r="M127" s="6">
        <f t="shared" si="51"/>
        <v>216.69983999999999</v>
      </c>
      <c r="N127" s="6">
        <f t="shared" si="51"/>
        <v>216.69983999999999</v>
      </c>
      <c r="O127" s="6">
        <f t="shared" si="51"/>
        <v>216.69983999999999</v>
      </c>
      <c r="P127" s="6">
        <f t="shared" si="51"/>
        <v>216.69983999999999</v>
      </c>
      <c r="Q127" s="6">
        <f t="shared" si="51"/>
        <v>216.69983999999999</v>
      </c>
      <c r="R127" s="6">
        <f t="shared" si="51"/>
        <v>0</v>
      </c>
      <c r="S127" s="6">
        <f t="shared" si="51"/>
        <v>2166.9983999999995</v>
      </c>
    </row>
    <row r="128" spans="2:19" ht="15" x14ac:dyDescent="0.35">
      <c r="B128" s="5"/>
      <c r="C128" t="s">
        <v>11</v>
      </c>
      <c r="F128" s="4">
        <v>36191.232000000004</v>
      </c>
      <c r="G128" s="4">
        <f>1.1*180*G7*0.8</f>
        <v>0</v>
      </c>
      <c r="H128" s="4">
        <f>+F128/10</f>
        <v>3619.1232000000005</v>
      </c>
      <c r="I128" s="4">
        <f t="shared" ref="I128:Q128" si="52">+H128</f>
        <v>3619.1232000000005</v>
      </c>
      <c r="J128" s="4">
        <f t="shared" si="52"/>
        <v>3619.1232000000005</v>
      </c>
      <c r="K128" s="4">
        <f t="shared" si="52"/>
        <v>3619.1232000000005</v>
      </c>
      <c r="L128" s="4">
        <f t="shared" si="52"/>
        <v>3619.1232000000005</v>
      </c>
      <c r="M128" s="4">
        <f t="shared" si="52"/>
        <v>3619.1232000000005</v>
      </c>
      <c r="N128" s="4">
        <f t="shared" si="52"/>
        <v>3619.1232000000005</v>
      </c>
      <c r="O128" s="4">
        <f t="shared" si="52"/>
        <v>3619.1232000000005</v>
      </c>
      <c r="P128" s="4">
        <f t="shared" si="52"/>
        <v>3619.1232000000005</v>
      </c>
      <c r="Q128" s="4">
        <f t="shared" si="52"/>
        <v>3619.1232000000005</v>
      </c>
      <c r="R128" s="4">
        <v>0</v>
      </c>
      <c r="S128" s="4">
        <f>SUM(G128:R128)</f>
        <v>36191.232000000011</v>
      </c>
    </row>
    <row r="129" spans="2:19" ht="15" x14ac:dyDescent="0.35">
      <c r="D129" s="5" t="s">
        <v>150</v>
      </c>
      <c r="E129" s="9"/>
      <c r="F129" s="6">
        <v>36191.232000000004</v>
      </c>
      <c r="G129" s="6">
        <f t="shared" ref="G129:S129" si="53">SUM(G128)</f>
        <v>0</v>
      </c>
      <c r="H129" s="6">
        <f t="shared" si="53"/>
        <v>3619.1232000000005</v>
      </c>
      <c r="I129" s="6">
        <f t="shared" si="53"/>
        <v>3619.1232000000005</v>
      </c>
      <c r="J129" s="6">
        <f t="shared" si="53"/>
        <v>3619.1232000000005</v>
      </c>
      <c r="K129" s="6">
        <f t="shared" si="53"/>
        <v>3619.1232000000005</v>
      </c>
      <c r="L129" s="6">
        <f t="shared" si="53"/>
        <v>3619.1232000000005</v>
      </c>
      <c r="M129" s="6">
        <f t="shared" si="53"/>
        <v>3619.1232000000005</v>
      </c>
      <c r="N129" s="6">
        <f t="shared" si="53"/>
        <v>3619.1232000000005</v>
      </c>
      <c r="O129" s="6">
        <f t="shared" si="53"/>
        <v>3619.1232000000005</v>
      </c>
      <c r="P129" s="6">
        <f t="shared" si="53"/>
        <v>3619.1232000000005</v>
      </c>
      <c r="Q129" s="6">
        <f t="shared" si="53"/>
        <v>3619.1232000000005</v>
      </c>
      <c r="R129" s="6">
        <f t="shared" si="53"/>
        <v>0</v>
      </c>
      <c r="S129" s="6">
        <f t="shared" si="53"/>
        <v>36191.232000000011</v>
      </c>
    </row>
    <row r="130" spans="2:19" ht="15" x14ac:dyDescent="0.35">
      <c r="B130" s="5" t="s">
        <v>151</v>
      </c>
      <c r="C130" s="5"/>
      <c r="D130" s="5"/>
      <c r="E130" s="3" t="s">
        <v>141</v>
      </c>
      <c r="F130" s="6">
        <v>55983.830400000006</v>
      </c>
      <c r="G130" s="6">
        <f t="shared" ref="G130:S130" si="54">+G122+G127+G129</f>
        <v>0</v>
      </c>
      <c r="H130" s="6">
        <f t="shared" si="54"/>
        <v>5598.3830400000006</v>
      </c>
      <c r="I130" s="6">
        <f t="shared" si="54"/>
        <v>5598.3830400000006</v>
      </c>
      <c r="J130" s="6">
        <f t="shared" si="54"/>
        <v>5598.3830400000006</v>
      </c>
      <c r="K130" s="6">
        <f t="shared" si="54"/>
        <v>5598.3830400000006</v>
      </c>
      <c r="L130" s="6">
        <f t="shared" si="54"/>
        <v>5598.3830400000006</v>
      </c>
      <c r="M130" s="6">
        <f t="shared" si="54"/>
        <v>5598.3830400000006</v>
      </c>
      <c r="N130" s="6">
        <f t="shared" si="54"/>
        <v>5598.3830400000006</v>
      </c>
      <c r="O130" s="6">
        <f t="shared" si="54"/>
        <v>5598.3830400000006</v>
      </c>
      <c r="P130" s="6">
        <f t="shared" si="54"/>
        <v>5598.3830400000006</v>
      </c>
      <c r="Q130" s="6">
        <f t="shared" si="54"/>
        <v>5598.3830400000006</v>
      </c>
      <c r="R130" s="6">
        <f t="shared" si="54"/>
        <v>0</v>
      </c>
      <c r="S130" s="6">
        <f t="shared" si="54"/>
        <v>55983.830400000006</v>
      </c>
    </row>
    <row r="132" spans="2:19" x14ac:dyDescent="0.2">
      <c r="B132" s="5" t="s">
        <v>35</v>
      </c>
    </row>
    <row r="133" spans="2:19" ht="15" x14ac:dyDescent="0.35">
      <c r="C133" s="5" t="s">
        <v>11</v>
      </c>
      <c r="D133" s="5"/>
      <c r="E133" s="3" t="s">
        <v>108</v>
      </c>
      <c r="F133" s="6">
        <v>68972.399999999994</v>
      </c>
      <c r="G133" s="6">
        <v>0</v>
      </c>
      <c r="H133" s="6">
        <f>+F133/10</f>
        <v>6897.24</v>
      </c>
      <c r="I133" s="6">
        <f t="shared" ref="I133:Q133" si="55">+H133</f>
        <v>6897.24</v>
      </c>
      <c r="J133" s="6">
        <f t="shared" si="55"/>
        <v>6897.24</v>
      </c>
      <c r="K133" s="6">
        <f t="shared" si="55"/>
        <v>6897.24</v>
      </c>
      <c r="L133" s="6">
        <f t="shared" si="55"/>
        <v>6897.24</v>
      </c>
      <c r="M133" s="6">
        <f t="shared" si="55"/>
        <v>6897.24</v>
      </c>
      <c r="N133" s="6">
        <f t="shared" si="55"/>
        <v>6897.24</v>
      </c>
      <c r="O133" s="6">
        <f t="shared" si="55"/>
        <v>6897.24</v>
      </c>
      <c r="P133" s="6">
        <f t="shared" si="55"/>
        <v>6897.24</v>
      </c>
      <c r="Q133" s="6">
        <f t="shared" si="55"/>
        <v>6897.24</v>
      </c>
      <c r="R133" s="6">
        <v>0</v>
      </c>
      <c r="S133" s="6">
        <f>SUM(G133:R133)</f>
        <v>68972.399999999994</v>
      </c>
    </row>
    <row r="135" spans="2:19" x14ac:dyDescent="0.2">
      <c r="B135" s="5" t="s">
        <v>36</v>
      </c>
    </row>
    <row r="136" spans="2:19" ht="15" x14ac:dyDescent="0.35">
      <c r="C136" t="s">
        <v>152</v>
      </c>
      <c r="E136" s="3" t="s">
        <v>135</v>
      </c>
      <c r="F136" s="4">
        <v>35700</v>
      </c>
      <c r="G136" s="4">
        <f>+F136/12</f>
        <v>2975</v>
      </c>
      <c r="H136" s="4">
        <f t="shared" ref="H136:R136" si="56">+G136</f>
        <v>2975</v>
      </c>
      <c r="I136" s="4">
        <f t="shared" si="56"/>
        <v>2975</v>
      </c>
      <c r="J136" s="4">
        <f t="shared" si="56"/>
        <v>2975</v>
      </c>
      <c r="K136" s="4">
        <f t="shared" si="56"/>
        <v>2975</v>
      </c>
      <c r="L136" s="4">
        <f t="shared" si="56"/>
        <v>2975</v>
      </c>
      <c r="M136" s="4">
        <f t="shared" si="56"/>
        <v>2975</v>
      </c>
      <c r="N136" s="4">
        <f t="shared" si="56"/>
        <v>2975</v>
      </c>
      <c r="O136" s="4">
        <f t="shared" si="56"/>
        <v>2975</v>
      </c>
      <c r="P136" s="4">
        <f t="shared" si="56"/>
        <v>2975</v>
      </c>
      <c r="Q136" s="4">
        <f t="shared" si="56"/>
        <v>2975</v>
      </c>
      <c r="R136" s="4">
        <f t="shared" si="56"/>
        <v>2975</v>
      </c>
      <c r="S136" s="4">
        <f>SUM(G136:R136)</f>
        <v>35700</v>
      </c>
    </row>
    <row r="137" spans="2:19" ht="15" x14ac:dyDescent="0.35">
      <c r="D137" s="5" t="s">
        <v>153</v>
      </c>
      <c r="E137" s="9"/>
      <c r="F137" s="6">
        <v>35700</v>
      </c>
      <c r="G137" s="6">
        <f t="shared" ref="G137:S137" si="57">SUM(G136)</f>
        <v>2975</v>
      </c>
      <c r="H137" s="6">
        <f t="shared" si="57"/>
        <v>2975</v>
      </c>
      <c r="I137" s="6">
        <f t="shared" si="57"/>
        <v>2975</v>
      </c>
      <c r="J137" s="6">
        <f t="shared" si="57"/>
        <v>2975</v>
      </c>
      <c r="K137" s="6">
        <f t="shared" si="57"/>
        <v>2975</v>
      </c>
      <c r="L137" s="6">
        <f t="shared" si="57"/>
        <v>2975</v>
      </c>
      <c r="M137" s="6">
        <f t="shared" si="57"/>
        <v>2975</v>
      </c>
      <c r="N137" s="6">
        <f t="shared" si="57"/>
        <v>2975</v>
      </c>
      <c r="O137" s="6">
        <f t="shared" si="57"/>
        <v>2975</v>
      </c>
      <c r="P137" s="6">
        <f t="shared" si="57"/>
        <v>2975</v>
      </c>
      <c r="Q137" s="6">
        <f t="shared" si="57"/>
        <v>2975</v>
      </c>
      <c r="R137" s="6">
        <f t="shared" si="57"/>
        <v>2975</v>
      </c>
      <c r="S137" s="6">
        <f t="shared" si="57"/>
        <v>35700</v>
      </c>
    </row>
    <row r="138" spans="2:19" x14ac:dyDescent="0.2">
      <c r="C138" t="s">
        <v>7</v>
      </c>
      <c r="E138" s="13">
        <v>1.4999999999999999E-2</v>
      </c>
      <c r="F138" s="14">
        <v>535.5</v>
      </c>
      <c r="G138" s="14">
        <f t="shared" ref="G138:R141" si="58">+$F138/$F$137*G$137</f>
        <v>44.625</v>
      </c>
      <c r="H138" s="14">
        <f t="shared" si="58"/>
        <v>44.625</v>
      </c>
      <c r="I138" s="14">
        <f t="shared" si="58"/>
        <v>44.625</v>
      </c>
      <c r="J138" s="14">
        <f t="shared" si="58"/>
        <v>44.625</v>
      </c>
      <c r="K138" s="14">
        <f t="shared" si="58"/>
        <v>44.625</v>
      </c>
      <c r="L138" s="14">
        <f t="shared" si="58"/>
        <v>44.625</v>
      </c>
      <c r="M138" s="14">
        <f t="shared" si="58"/>
        <v>44.625</v>
      </c>
      <c r="N138" s="14">
        <f t="shared" si="58"/>
        <v>44.625</v>
      </c>
      <c r="O138" s="14">
        <f t="shared" si="58"/>
        <v>44.625</v>
      </c>
      <c r="P138" s="14">
        <f t="shared" si="58"/>
        <v>44.625</v>
      </c>
      <c r="Q138" s="14">
        <f t="shared" si="58"/>
        <v>44.625</v>
      </c>
      <c r="R138" s="14">
        <f t="shared" si="58"/>
        <v>44.625</v>
      </c>
      <c r="S138" s="14">
        <f>SUM(G138:R138)</f>
        <v>535.5</v>
      </c>
    </row>
    <row r="139" spans="2:19" x14ac:dyDescent="0.2">
      <c r="C139" t="s">
        <v>8</v>
      </c>
      <c r="E139" s="3" t="s">
        <v>52</v>
      </c>
      <c r="F139" s="14">
        <v>3109.05</v>
      </c>
      <c r="G139" s="14">
        <f t="shared" si="58"/>
        <v>259.08749999999998</v>
      </c>
      <c r="H139" s="14">
        <f t="shared" si="58"/>
        <v>259.08749999999998</v>
      </c>
      <c r="I139" s="14">
        <f t="shared" si="58"/>
        <v>259.08749999999998</v>
      </c>
      <c r="J139" s="14">
        <f t="shared" si="58"/>
        <v>259.08749999999998</v>
      </c>
      <c r="K139" s="14">
        <f t="shared" si="58"/>
        <v>259.08749999999998</v>
      </c>
      <c r="L139" s="14">
        <f t="shared" si="58"/>
        <v>259.08749999999998</v>
      </c>
      <c r="M139" s="14">
        <f t="shared" si="58"/>
        <v>259.08749999999998</v>
      </c>
      <c r="N139" s="14">
        <f t="shared" si="58"/>
        <v>259.08749999999998</v>
      </c>
      <c r="O139" s="14">
        <f t="shared" si="58"/>
        <v>259.08749999999998</v>
      </c>
      <c r="P139" s="14">
        <f t="shared" si="58"/>
        <v>259.08749999999998</v>
      </c>
      <c r="Q139" s="14">
        <f t="shared" si="58"/>
        <v>259.08749999999998</v>
      </c>
      <c r="R139" s="14">
        <f t="shared" si="58"/>
        <v>259.08749999999998</v>
      </c>
      <c r="S139" s="14">
        <f>SUM(G139:R139)</f>
        <v>3109.0500000000006</v>
      </c>
    </row>
    <row r="140" spans="2:19" x14ac:dyDescent="0.2">
      <c r="C140" t="s">
        <v>9</v>
      </c>
      <c r="E140" s="3" t="str">
        <f>CONCATENATE(ins," per month per employee")</f>
        <v>266.666666666666 per month per employee</v>
      </c>
      <c r="F140" s="14">
        <v>3060</v>
      </c>
      <c r="G140" s="14">
        <f t="shared" si="58"/>
        <v>255</v>
      </c>
      <c r="H140" s="14">
        <f t="shared" si="58"/>
        <v>255</v>
      </c>
      <c r="I140" s="14">
        <f t="shared" si="58"/>
        <v>255</v>
      </c>
      <c r="J140" s="14">
        <f t="shared" si="58"/>
        <v>255</v>
      </c>
      <c r="K140" s="14">
        <f t="shared" si="58"/>
        <v>255</v>
      </c>
      <c r="L140" s="14">
        <f t="shared" si="58"/>
        <v>255</v>
      </c>
      <c r="M140" s="14">
        <f t="shared" si="58"/>
        <v>255</v>
      </c>
      <c r="N140" s="14">
        <f t="shared" si="58"/>
        <v>255</v>
      </c>
      <c r="O140" s="14">
        <f t="shared" si="58"/>
        <v>255</v>
      </c>
      <c r="P140" s="14">
        <f t="shared" si="58"/>
        <v>255</v>
      </c>
      <c r="Q140" s="14">
        <f t="shared" si="58"/>
        <v>255</v>
      </c>
      <c r="R140" s="14">
        <f t="shared" si="58"/>
        <v>255</v>
      </c>
      <c r="S140" s="14">
        <f>SUM(G140:R140)</f>
        <v>3060</v>
      </c>
    </row>
    <row r="141" spans="2:19" ht="15" x14ac:dyDescent="0.35">
      <c r="C141" t="s">
        <v>10</v>
      </c>
      <c r="E141" s="11" t="s">
        <v>53</v>
      </c>
      <c r="F141" s="4">
        <v>357</v>
      </c>
      <c r="G141" s="4">
        <f t="shared" si="58"/>
        <v>29.75</v>
      </c>
      <c r="H141" s="4">
        <f t="shared" si="58"/>
        <v>29.75</v>
      </c>
      <c r="I141" s="4">
        <f t="shared" si="58"/>
        <v>29.75</v>
      </c>
      <c r="J141" s="4">
        <f t="shared" si="58"/>
        <v>29.75</v>
      </c>
      <c r="K141" s="4">
        <f t="shared" si="58"/>
        <v>29.75</v>
      </c>
      <c r="L141" s="4">
        <f t="shared" si="58"/>
        <v>29.75</v>
      </c>
      <c r="M141" s="4">
        <f t="shared" si="58"/>
        <v>29.75</v>
      </c>
      <c r="N141" s="4">
        <f t="shared" si="58"/>
        <v>29.75</v>
      </c>
      <c r="O141" s="4">
        <f t="shared" si="58"/>
        <v>29.75</v>
      </c>
      <c r="P141" s="4">
        <f t="shared" si="58"/>
        <v>29.75</v>
      </c>
      <c r="Q141" s="4">
        <f t="shared" si="58"/>
        <v>29.75</v>
      </c>
      <c r="R141" s="4">
        <f t="shared" si="58"/>
        <v>29.75</v>
      </c>
      <c r="S141" s="4">
        <f>SUM(G141:R141)</f>
        <v>357</v>
      </c>
    </row>
    <row r="142" spans="2:19" ht="15" x14ac:dyDescent="0.35">
      <c r="D142" s="5" t="s">
        <v>154</v>
      </c>
      <c r="E142" s="9"/>
      <c r="F142" s="6">
        <v>7061.55</v>
      </c>
      <c r="G142" s="6">
        <f t="shared" ref="G142:S142" si="59">SUM(G138:G141)</f>
        <v>588.46249999999998</v>
      </c>
      <c r="H142" s="6">
        <f t="shared" si="59"/>
        <v>588.46249999999998</v>
      </c>
      <c r="I142" s="6">
        <f t="shared" si="59"/>
        <v>588.46249999999998</v>
      </c>
      <c r="J142" s="6">
        <f t="shared" si="59"/>
        <v>588.46249999999998</v>
      </c>
      <c r="K142" s="6">
        <f t="shared" si="59"/>
        <v>588.46249999999998</v>
      </c>
      <c r="L142" s="6">
        <f t="shared" si="59"/>
        <v>588.46249999999998</v>
      </c>
      <c r="M142" s="6">
        <f t="shared" si="59"/>
        <v>588.46249999999998</v>
      </c>
      <c r="N142" s="6">
        <f t="shared" si="59"/>
        <v>588.46249999999998</v>
      </c>
      <c r="O142" s="6">
        <f t="shared" si="59"/>
        <v>588.46249999999998</v>
      </c>
      <c r="P142" s="6">
        <f t="shared" si="59"/>
        <v>588.46249999999998</v>
      </c>
      <c r="Q142" s="6">
        <f t="shared" si="59"/>
        <v>588.46249999999998</v>
      </c>
      <c r="R142" s="6">
        <f t="shared" si="59"/>
        <v>588.46249999999998</v>
      </c>
      <c r="S142" s="6">
        <f t="shared" si="59"/>
        <v>7061.5500000000011</v>
      </c>
    </row>
    <row r="143" spans="2:19" x14ac:dyDescent="0.2">
      <c r="C143" t="s">
        <v>11</v>
      </c>
      <c r="F143" s="14">
        <v>1224</v>
      </c>
      <c r="G143" s="14">
        <f>+F143/12</f>
        <v>102</v>
      </c>
      <c r="H143" s="14">
        <f t="shared" ref="H143:R143" si="60">+G143</f>
        <v>102</v>
      </c>
      <c r="I143" s="14">
        <f t="shared" si="60"/>
        <v>102</v>
      </c>
      <c r="J143" s="14">
        <f t="shared" si="60"/>
        <v>102</v>
      </c>
      <c r="K143" s="14">
        <f t="shared" si="60"/>
        <v>102</v>
      </c>
      <c r="L143" s="14">
        <f t="shared" si="60"/>
        <v>102</v>
      </c>
      <c r="M143" s="14">
        <f t="shared" si="60"/>
        <v>102</v>
      </c>
      <c r="N143" s="14">
        <f t="shared" si="60"/>
        <v>102</v>
      </c>
      <c r="O143" s="14">
        <f t="shared" si="60"/>
        <v>102</v>
      </c>
      <c r="P143" s="14">
        <f t="shared" si="60"/>
        <v>102</v>
      </c>
      <c r="Q143" s="14">
        <f t="shared" si="60"/>
        <v>102</v>
      </c>
      <c r="R143" s="14">
        <f t="shared" si="60"/>
        <v>102</v>
      </c>
      <c r="S143" s="14">
        <f t="shared" ref="S143:S148" si="61">SUM(G143:R143)</f>
        <v>1224</v>
      </c>
    </row>
    <row r="144" spans="2:19" x14ac:dyDescent="0.2">
      <c r="C144" t="s">
        <v>21</v>
      </c>
      <c r="F144" s="14">
        <v>3060</v>
      </c>
      <c r="G144" s="14">
        <f>+F144</f>
        <v>3060</v>
      </c>
      <c r="H144" s="14">
        <v>0</v>
      </c>
      <c r="I144" s="14">
        <f t="shared" ref="I144:R144" si="62">+H144</f>
        <v>0</v>
      </c>
      <c r="J144" s="14">
        <f t="shared" si="62"/>
        <v>0</v>
      </c>
      <c r="K144" s="14">
        <f t="shared" si="62"/>
        <v>0</v>
      </c>
      <c r="L144" s="14">
        <f t="shared" si="62"/>
        <v>0</v>
      </c>
      <c r="M144" s="14">
        <f t="shared" si="62"/>
        <v>0</v>
      </c>
      <c r="N144" s="14">
        <f t="shared" si="62"/>
        <v>0</v>
      </c>
      <c r="O144" s="14">
        <f t="shared" si="62"/>
        <v>0</v>
      </c>
      <c r="P144" s="14">
        <f t="shared" si="62"/>
        <v>0</v>
      </c>
      <c r="Q144" s="14">
        <f t="shared" si="62"/>
        <v>0</v>
      </c>
      <c r="R144" s="14">
        <f t="shared" si="62"/>
        <v>0</v>
      </c>
      <c r="S144" s="14">
        <f t="shared" si="61"/>
        <v>3060</v>
      </c>
    </row>
    <row r="145" spans="1:19" x14ac:dyDescent="0.2">
      <c r="C145" t="s">
        <v>37</v>
      </c>
      <c r="F145" s="14">
        <v>4896</v>
      </c>
      <c r="G145" s="14">
        <f>+F145/12</f>
        <v>408</v>
      </c>
      <c r="H145" s="14">
        <f>+G145</f>
        <v>408</v>
      </c>
      <c r="I145" s="14">
        <f t="shared" ref="I145:R145" si="63">+H145</f>
        <v>408</v>
      </c>
      <c r="J145" s="14">
        <f t="shared" si="63"/>
        <v>408</v>
      </c>
      <c r="K145" s="14">
        <f t="shared" si="63"/>
        <v>408</v>
      </c>
      <c r="L145" s="14">
        <f t="shared" si="63"/>
        <v>408</v>
      </c>
      <c r="M145" s="14">
        <f t="shared" si="63"/>
        <v>408</v>
      </c>
      <c r="N145" s="14">
        <f t="shared" si="63"/>
        <v>408</v>
      </c>
      <c r="O145" s="14">
        <f t="shared" si="63"/>
        <v>408</v>
      </c>
      <c r="P145" s="14">
        <f t="shared" si="63"/>
        <v>408</v>
      </c>
      <c r="Q145" s="14">
        <f t="shared" si="63"/>
        <v>408</v>
      </c>
      <c r="R145" s="14">
        <f t="shared" si="63"/>
        <v>408</v>
      </c>
      <c r="S145" s="14">
        <f t="shared" si="61"/>
        <v>4896</v>
      </c>
    </row>
    <row r="146" spans="1:19" x14ac:dyDescent="0.2">
      <c r="C146" t="s">
        <v>38</v>
      </c>
      <c r="F146" s="14">
        <v>13411.914893617022</v>
      </c>
      <c r="G146" s="14">
        <f>+F146/12</f>
        <v>1117.6595744680851</v>
      </c>
      <c r="H146" s="14">
        <f>+G146</f>
        <v>1117.6595744680851</v>
      </c>
      <c r="I146" s="14">
        <f t="shared" ref="I146:R146" si="64">+H146</f>
        <v>1117.6595744680851</v>
      </c>
      <c r="J146" s="14">
        <f t="shared" si="64"/>
        <v>1117.6595744680851</v>
      </c>
      <c r="K146" s="14">
        <f t="shared" si="64"/>
        <v>1117.6595744680851</v>
      </c>
      <c r="L146" s="14">
        <f t="shared" si="64"/>
        <v>1117.6595744680851</v>
      </c>
      <c r="M146" s="14">
        <f t="shared" si="64"/>
        <v>1117.6595744680851</v>
      </c>
      <c r="N146" s="14">
        <f t="shared" si="64"/>
        <v>1117.6595744680851</v>
      </c>
      <c r="O146" s="14">
        <f t="shared" si="64"/>
        <v>1117.6595744680851</v>
      </c>
      <c r="P146" s="14">
        <f t="shared" si="64"/>
        <v>1117.6595744680851</v>
      </c>
      <c r="Q146" s="14">
        <f t="shared" si="64"/>
        <v>1117.6595744680851</v>
      </c>
      <c r="R146" s="14">
        <f t="shared" si="64"/>
        <v>1117.6595744680851</v>
      </c>
      <c r="S146" s="14">
        <f t="shared" si="61"/>
        <v>13411.914893617022</v>
      </c>
    </row>
    <row r="147" spans="1:19" x14ac:dyDescent="0.2">
      <c r="C147" t="s">
        <v>13</v>
      </c>
      <c r="F147" s="14">
        <v>2187.5744680851062</v>
      </c>
      <c r="G147" s="14">
        <f>+F147/4</f>
        <v>546.89361702127655</v>
      </c>
      <c r="H147" s="14">
        <f>+(F147-G147)/11</f>
        <v>149.15280464216633</v>
      </c>
      <c r="I147" s="14">
        <f t="shared" ref="I147:R147" si="65">+H147</f>
        <v>149.15280464216633</v>
      </c>
      <c r="J147" s="14">
        <f t="shared" si="65"/>
        <v>149.15280464216633</v>
      </c>
      <c r="K147" s="14">
        <f t="shared" si="65"/>
        <v>149.15280464216633</v>
      </c>
      <c r="L147" s="14">
        <f t="shared" si="65"/>
        <v>149.15280464216633</v>
      </c>
      <c r="M147" s="14">
        <f t="shared" si="65"/>
        <v>149.15280464216633</v>
      </c>
      <c r="N147" s="14">
        <f t="shared" si="65"/>
        <v>149.15280464216633</v>
      </c>
      <c r="O147" s="14">
        <f t="shared" si="65"/>
        <v>149.15280464216633</v>
      </c>
      <c r="P147" s="14">
        <f t="shared" si="65"/>
        <v>149.15280464216633</v>
      </c>
      <c r="Q147" s="14">
        <f t="shared" si="65"/>
        <v>149.15280464216633</v>
      </c>
      <c r="R147" s="14">
        <f t="shared" si="65"/>
        <v>149.15280464216633</v>
      </c>
      <c r="S147" s="14">
        <f t="shared" si="61"/>
        <v>2187.5744680851062</v>
      </c>
    </row>
    <row r="148" spans="1:19" ht="15" x14ac:dyDescent="0.35">
      <c r="C148" t="s">
        <v>15</v>
      </c>
      <c r="F148" s="4">
        <v>1020</v>
      </c>
      <c r="G148" s="4">
        <f>+F148/4</f>
        <v>255</v>
      </c>
      <c r="H148" s="4">
        <f>+(F148-G148)/11</f>
        <v>69.545454545454547</v>
      </c>
      <c r="I148" s="4">
        <f t="shared" ref="I148:R148" si="66">+H148</f>
        <v>69.545454545454547</v>
      </c>
      <c r="J148" s="4">
        <f t="shared" si="66"/>
        <v>69.545454545454547</v>
      </c>
      <c r="K148" s="4">
        <f t="shared" si="66"/>
        <v>69.545454545454547</v>
      </c>
      <c r="L148" s="4">
        <f t="shared" si="66"/>
        <v>69.545454545454547</v>
      </c>
      <c r="M148" s="4">
        <f t="shared" si="66"/>
        <v>69.545454545454547</v>
      </c>
      <c r="N148" s="4">
        <f t="shared" si="66"/>
        <v>69.545454545454547</v>
      </c>
      <c r="O148" s="4">
        <f t="shared" si="66"/>
        <v>69.545454545454547</v>
      </c>
      <c r="P148" s="4">
        <f t="shared" si="66"/>
        <v>69.545454545454547</v>
      </c>
      <c r="Q148" s="4">
        <f t="shared" si="66"/>
        <v>69.545454545454547</v>
      </c>
      <c r="R148" s="4">
        <f t="shared" si="66"/>
        <v>69.545454545454547</v>
      </c>
      <c r="S148" s="4">
        <f t="shared" si="61"/>
        <v>1019.9999999999998</v>
      </c>
    </row>
    <row r="149" spans="1:19" ht="15" x14ac:dyDescent="0.35">
      <c r="D149" s="5" t="s">
        <v>155</v>
      </c>
      <c r="E149" s="9"/>
      <c r="F149" s="6">
        <v>25799.48936170213</v>
      </c>
      <c r="G149" s="6">
        <f>SUM(G143:G148)</f>
        <v>5489.5531914893618</v>
      </c>
      <c r="H149" s="6">
        <f t="shared" ref="H149:N149" si="67">SUM(H143:H148)</f>
        <v>1846.3578336557059</v>
      </c>
      <c r="I149" s="6">
        <f t="shared" si="67"/>
        <v>1846.3578336557059</v>
      </c>
      <c r="J149" s="6">
        <f t="shared" si="67"/>
        <v>1846.3578336557059</v>
      </c>
      <c r="K149" s="6">
        <f t="shared" si="67"/>
        <v>1846.3578336557059</v>
      </c>
      <c r="L149" s="6">
        <f t="shared" si="67"/>
        <v>1846.3578336557059</v>
      </c>
      <c r="M149" s="6">
        <f t="shared" si="67"/>
        <v>1846.3578336557059</v>
      </c>
      <c r="N149" s="6">
        <f t="shared" si="67"/>
        <v>1846.3578336557059</v>
      </c>
      <c r="O149" s="6">
        <f>SUM(O143:O148)</f>
        <v>1846.3578336557059</v>
      </c>
      <c r="P149" s="6">
        <f>SUM(P143:P148)</f>
        <v>1846.3578336557059</v>
      </c>
      <c r="Q149" s="6">
        <f>SUM(Q143:Q148)</f>
        <v>1846.3578336557059</v>
      </c>
      <c r="R149" s="6">
        <f>SUM(R143:R148)</f>
        <v>1846.3578336557059</v>
      </c>
      <c r="S149" s="6">
        <f>SUM(S143:S148)</f>
        <v>25799.48936170213</v>
      </c>
    </row>
    <row r="150" spans="1:19" ht="15" x14ac:dyDescent="0.35">
      <c r="A150" s="5"/>
      <c r="B150" s="5" t="s">
        <v>39</v>
      </c>
      <c r="C150" s="5"/>
      <c r="D150" s="5"/>
      <c r="E150" s="9"/>
      <c r="F150" s="6">
        <v>68561.039361702133</v>
      </c>
      <c r="G150" s="6">
        <f t="shared" ref="G150:S150" si="68">+G137+G142+G149</f>
        <v>9053.0156914893614</v>
      </c>
      <c r="H150" s="6">
        <f t="shared" si="68"/>
        <v>5409.8203336557062</v>
      </c>
      <c r="I150" s="6">
        <f t="shared" si="68"/>
        <v>5409.8203336557062</v>
      </c>
      <c r="J150" s="6">
        <f t="shared" si="68"/>
        <v>5409.8203336557062</v>
      </c>
      <c r="K150" s="6">
        <f t="shared" si="68"/>
        <v>5409.8203336557062</v>
      </c>
      <c r="L150" s="6">
        <f t="shared" si="68"/>
        <v>5409.8203336557062</v>
      </c>
      <c r="M150" s="6">
        <f t="shared" si="68"/>
        <v>5409.8203336557062</v>
      </c>
      <c r="N150" s="6">
        <f t="shared" si="68"/>
        <v>5409.8203336557062</v>
      </c>
      <c r="O150" s="6">
        <f t="shared" si="68"/>
        <v>5409.8203336557062</v>
      </c>
      <c r="P150" s="6">
        <f t="shared" si="68"/>
        <v>5409.8203336557062</v>
      </c>
      <c r="Q150" s="6">
        <f t="shared" si="68"/>
        <v>5409.8203336557062</v>
      </c>
      <c r="R150" s="6">
        <f t="shared" si="68"/>
        <v>5409.8203336557062</v>
      </c>
      <c r="S150" s="6">
        <f t="shared" si="68"/>
        <v>68561.039361702133</v>
      </c>
    </row>
    <row r="151" spans="1:19" ht="15" x14ac:dyDescent="0.35">
      <c r="A151" s="5"/>
      <c r="B151" s="5"/>
      <c r="C151" s="5"/>
      <c r="D151" s="5"/>
      <c r="E151" s="9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</row>
    <row r="152" spans="1:19" ht="15" x14ac:dyDescent="0.35">
      <c r="A152" s="5"/>
      <c r="B152" s="5" t="s">
        <v>81</v>
      </c>
      <c r="C152" s="5"/>
      <c r="D152" s="5"/>
      <c r="E152" s="9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</row>
    <row r="153" spans="1:19" x14ac:dyDescent="0.2">
      <c r="A153" s="5"/>
      <c r="B153" s="5"/>
      <c r="C153" t="s">
        <v>11</v>
      </c>
      <c r="D153" s="5"/>
      <c r="E153" s="9"/>
      <c r="F153" s="14">
        <v>1224</v>
      </c>
      <c r="G153" s="14">
        <f>+F153/12</f>
        <v>102</v>
      </c>
      <c r="H153" s="14">
        <f t="shared" ref="H153:R153" si="69">+G153</f>
        <v>102</v>
      </c>
      <c r="I153" s="14">
        <f t="shared" si="69"/>
        <v>102</v>
      </c>
      <c r="J153" s="14">
        <f t="shared" si="69"/>
        <v>102</v>
      </c>
      <c r="K153" s="14">
        <f t="shared" si="69"/>
        <v>102</v>
      </c>
      <c r="L153" s="14">
        <f t="shared" si="69"/>
        <v>102</v>
      </c>
      <c r="M153" s="14">
        <f t="shared" si="69"/>
        <v>102</v>
      </c>
      <c r="N153" s="14">
        <f t="shared" si="69"/>
        <v>102</v>
      </c>
      <c r="O153" s="14">
        <f t="shared" si="69"/>
        <v>102</v>
      </c>
      <c r="P153" s="14">
        <f t="shared" si="69"/>
        <v>102</v>
      </c>
      <c r="Q153" s="14">
        <f t="shared" si="69"/>
        <v>102</v>
      </c>
      <c r="R153" s="14">
        <f t="shared" si="69"/>
        <v>102</v>
      </c>
      <c r="S153" s="14">
        <f>SUM(G153:R153)</f>
        <v>1224</v>
      </c>
    </row>
    <row r="154" spans="1:19" ht="15" x14ac:dyDescent="0.35">
      <c r="A154" s="5"/>
      <c r="B154" s="5"/>
      <c r="C154" t="s">
        <v>13</v>
      </c>
      <c r="D154" s="5"/>
      <c r="F154" s="10">
        <v>1020</v>
      </c>
      <c r="G154" s="10">
        <f>+F154/4</f>
        <v>255</v>
      </c>
      <c r="H154" s="10">
        <f>+(F154-G154)/11</f>
        <v>69.545454545454547</v>
      </c>
      <c r="I154" s="10">
        <f t="shared" ref="I154:R154" si="70">+H154</f>
        <v>69.545454545454547</v>
      </c>
      <c r="J154" s="10">
        <f t="shared" si="70"/>
        <v>69.545454545454547</v>
      </c>
      <c r="K154" s="10">
        <f t="shared" si="70"/>
        <v>69.545454545454547</v>
      </c>
      <c r="L154" s="10">
        <f t="shared" si="70"/>
        <v>69.545454545454547</v>
      </c>
      <c r="M154" s="10">
        <f t="shared" si="70"/>
        <v>69.545454545454547</v>
      </c>
      <c r="N154" s="10">
        <f t="shared" si="70"/>
        <v>69.545454545454547</v>
      </c>
      <c r="O154" s="10">
        <f t="shared" si="70"/>
        <v>69.545454545454547</v>
      </c>
      <c r="P154" s="10">
        <f t="shared" si="70"/>
        <v>69.545454545454547</v>
      </c>
      <c r="Q154" s="10">
        <f t="shared" si="70"/>
        <v>69.545454545454547</v>
      </c>
      <c r="R154" s="10">
        <f t="shared" si="70"/>
        <v>69.545454545454547</v>
      </c>
      <c r="S154" s="10">
        <f>SUM(G154:R154)</f>
        <v>1019.9999999999998</v>
      </c>
    </row>
    <row r="155" spans="1:19" ht="15" x14ac:dyDescent="0.35">
      <c r="A155" s="5"/>
      <c r="B155" s="5" t="s">
        <v>82</v>
      </c>
      <c r="C155" s="5"/>
      <c r="D155" s="5"/>
      <c r="E155" s="9"/>
      <c r="F155" s="6">
        <v>2244</v>
      </c>
      <c r="G155" s="6">
        <f t="shared" ref="G155:S155" si="71">SUM(G153:G154)</f>
        <v>357</v>
      </c>
      <c r="H155" s="6">
        <f t="shared" si="71"/>
        <v>171.54545454545456</v>
      </c>
      <c r="I155" s="6">
        <f t="shared" si="71"/>
        <v>171.54545454545456</v>
      </c>
      <c r="J155" s="6">
        <f t="shared" si="71"/>
        <v>171.54545454545456</v>
      </c>
      <c r="K155" s="6">
        <f t="shared" si="71"/>
        <v>171.54545454545456</v>
      </c>
      <c r="L155" s="6">
        <f t="shared" si="71"/>
        <v>171.54545454545456</v>
      </c>
      <c r="M155" s="6">
        <f t="shared" si="71"/>
        <v>171.54545454545456</v>
      </c>
      <c r="N155" s="6">
        <f t="shared" si="71"/>
        <v>171.54545454545456</v>
      </c>
      <c r="O155" s="6">
        <f t="shared" si="71"/>
        <v>171.54545454545456</v>
      </c>
      <c r="P155" s="6">
        <f t="shared" si="71"/>
        <v>171.54545454545456</v>
      </c>
      <c r="Q155" s="6">
        <f t="shared" si="71"/>
        <v>171.54545454545456</v>
      </c>
      <c r="R155" s="6">
        <f t="shared" si="71"/>
        <v>171.54545454545456</v>
      </c>
      <c r="S155" s="6">
        <f t="shared" si="71"/>
        <v>2244</v>
      </c>
    </row>
    <row r="156" spans="1:19" x14ac:dyDescent="0.2">
      <c r="A156" s="5"/>
      <c r="B156" s="5"/>
      <c r="C156" s="5"/>
      <c r="D156" s="5"/>
      <c r="E156" s="9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</row>
    <row r="157" spans="1:19" ht="15" x14ac:dyDescent="0.35">
      <c r="A157" s="5" t="s">
        <v>40</v>
      </c>
      <c r="B157" s="5"/>
      <c r="C157" s="5"/>
      <c r="D157" s="5"/>
      <c r="E157" s="9"/>
      <c r="F157" s="6">
        <v>1461116.6941727893</v>
      </c>
      <c r="G157" s="6" t="e">
        <f t="shared" ref="G157:S157" si="72">SUM(G41,G54,G69,G72,G75,G86,G107,G113,G118,G130,G133,G150,G155)</f>
        <v>#REF!</v>
      </c>
      <c r="H157" s="6" t="e">
        <f t="shared" si="72"/>
        <v>#REF!</v>
      </c>
      <c r="I157" s="6" t="e">
        <f t="shared" si="72"/>
        <v>#REF!</v>
      </c>
      <c r="J157" s="6" t="e">
        <f t="shared" si="72"/>
        <v>#REF!</v>
      </c>
      <c r="K157" s="6" t="e">
        <f t="shared" si="72"/>
        <v>#REF!</v>
      </c>
      <c r="L157" s="6" t="e">
        <f t="shared" si="72"/>
        <v>#REF!</v>
      </c>
      <c r="M157" s="6" t="e">
        <f t="shared" si="72"/>
        <v>#REF!</v>
      </c>
      <c r="N157" s="6" t="e">
        <f t="shared" si="72"/>
        <v>#REF!</v>
      </c>
      <c r="O157" s="6" t="e">
        <f t="shared" si="72"/>
        <v>#REF!</v>
      </c>
      <c r="P157" s="6" t="e">
        <f t="shared" si="72"/>
        <v>#REF!</v>
      </c>
      <c r="Q157" s="6" t="e">
        <f t="shared" si="72"/>
        <v>#REF!</v>
      </c>
      <c r="R157" s="6" t="e">
        <f t="shared" si="72"/>
        <v>#REF!</v>
      </c>
      <c r="S157" s="6" t="e">
        <f t="shared" si="72"/>
        <v>#REF!</v>
      </c>
    </row>
    <row r="159" spans="1:19" s="5" customFormat="1" ht="15" x14ac:dyDescent="0.35">
      <c r="A159" s="5" t="s">
        <v>172</v>
      </c>
      <c r="E159" s="9"/>
      <c r="F159" s="7">
        <v>-4610.5324706614483</v>
      </c>
      <c r="G159" s="7" t="e">
        <f t="shared" ref="G159:S159" si="73">G10+G18-G157</f>
        <v>#REF!</v>
      </c>
      <c r="H159" s="7" t="e">
        <f t="shared" si="73"/>
        <v>#REF!</v>
      </c>
      <c r="I159" s="7" t="e">
        <f t="shared" si="73"/>
        <v>#REF!</v>
      </c>
      <c r="J159" s="7" t="e">
        <f t="shared" si="73"/>
        <v>#REF!</v>
      </c>
      <c r="K159" s="7" t="e">
        <f t="shared" si="73"/>
        <v>#REF!</v>
      </c>
      <c r="L159" s="7" t="e">
        <f t="shared" si="73"/>
        <v>#REF!</v>
      </c>
      <c r="M159" s="7" t="e">
        <f t="shared" si="73"/>
        <v>#REF!</v>
      </c>
      <c r="N159" s="7" t="e">
        <f t="shared" si="73"/>
        <v>#REF!</v>
      </c>
      <c r="O159" s="7" t="e">
        <f t="shared" si="73"/>
        <v>#REF!</v>
      </c>
      <c r="P159" s="7" t="e">
        <f t="shared" si="73"/>
        <v>#REF!</v>
      </c>
      <c r="Q159" s="7" t="e">
        <f t="shared" si="73"/>
        <v>#REF!</v>
      </c>
      <c r="R159" s="7" t="e">
        <f t="shared" si="73"/>
        <v>#REF!</v>
      </c>
      <c r="S159" s="7" t="e">
        <f t="shared" si="73"/>
        <v>#REF!</v>
      </c>
    </row>
  </sheetData>
  <phoneticPr fontId="0" type="noConversion"/>
  <printOptions horizontalCentered="1"/>
  <pageMargins left="0.25" right="0.25" top="0.5" bottom="0.5" header="0" footer="0"/>
  <pageSetup scale="65" orientation="landscape" horizontalDpi="300" verticalDpi="300"/>
  <headerFooter alignWithMargins="0"/>
  <rowBreaks count="2" manualBreakCount="2">
    <brk id="75" max="16383" man="1"/>
    <brk id="1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28</vt:i4>
      </vt:variant>
    </vt:vector>
  </HeadingPairs>
  <TitlesOfParts>
    <vt:vector size="43" baseType="lpstr">
      <vt:lpstr>BS</vt:lpstr>
      <vt:lpstr>Annual</vt:lpstr>
      <vt:lpstr>Salaries</vt:lpstr>
      <vt:lpstr>Monthly</vt:lpstr>
      <vt:lpstr>Op</vt:lpstr>
      <vt:lpstr>Yr1</vt:lpstr>
      <vt:lpstr>Yr2</vt:lpstr>
      <vt:lpstr>Yr1 Cash Flow</vt:lpstr>
      <vt:lpstr>Yr2 Cash Flow</vt:lpstr>
      <vt:lpstr>Yr3 Cash Flow</vt:lpstr>
      <vt:lpstr>Yr4 Cash Flow</vt:lpstr>
      <vt:lpstr>Yr5 Cash Flow</vt:lpstr>
      <vt:lpstr>Inst Mat</vt:lpstr>
      <vt:lpstr>Cash Flow 07</vt:lpstr>
      <vt:lpstr>Misc</vt:lpstr>
      <vt:lpstr>_add1</vt:lpstr>
      <vt:lpstr>_add2</vt:lpstr>
      <vt:lpstr>_add3</vt:lpstr>
      <vt:lpstr>_add4</vt:lpstr>
      <vt:lpstr>_add5</vt:lpstr>
      <vt:lpstr>Inf</vt:lpstr>
      <vt:lpstr>ins</vt:lpstr>
      <vt:lpstr>para</vt:lpstr>
      <vt:lpstr>para1</vt:lpstr>
      <vt:lpstr>para2</vt:lpstr>
      <vt:lpstr>para3</vt:lpstr>
      <vt:lpstr>para4</vt:lpstr>
      <vt:lpstr>para5</vt:lpstr>
      <vt:lpstr>Annual!Print_Area</vt:lpstr>
      <vt:lpstr>Monthly!Print_Area</vt:lpstr>
      <vt:lpstr>Annual!Print_Titles</vt:lpstr>
      <vt:lpstr>'Cash Flow 07'!Print_Titles</vt:lpstr>
      <vt:lpstr>'Inst Mat'!Print_Titles</vt:lpstr>
      <vt:lpstr>Monthly!Print_Titles</vt:lpstr>
      <vt:lpstr>Op!Print_Titles</vt:lpstr>
      <vt:lpstr>'Yr1'!Print_Titles</vt:lpstr>
      <vt:lpstr>'Yr1 Cash Flow'!Print_Titles</vt:lpstr>
      <vt:lpstr>'Yr2'!Print_Titles</vt:lpstr>
      <vt:lpstr>'Yr2 Cash Flow'!Print_Titles</vt:lpstr>
      <vt:lpstr>'Yr3 Cash Flow'!Print_Titles</vt:lpstr>
      <vt:lpstr>'Yr4 Cash Flow'!Print_Titles</vt:lpstr>
      <vt:lpstr>'Yr5 Cash Flow'!Print_Titles</vt:lpstr>
      <vt:lpstr>Tchr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david@pearlbusinessgroup.com</dc:creator>
  <cp:lastModifiedBy>Lindsey Patton</cp:lastModifiedBy>
  <cp:lastPrinted>2017-05-17T18:10:32Z</cp:lastPrinted>
  <dcterms:created xsi:type="dcterms:W3CDTF">2004-01-29T01:53:15Z</dcterms:created>
  <dcterms:modified xsi:type="dcterms:W3CDTF">2018-06-07T15:18:38Z</dcterms:modified>
</cp:coreProperties>
</file>